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hsengland.sharepoint.com/teams/SouthAnalyticalServices/Shared Documents/General/Covid Response/Analysis/Vaccination/AdHocs/Booster Vaccination Projections/"/>
    </mc:Choice>
  </mc:AlternateContent>
  <xr:revisionPtr revIDLastSave="0" documentId="8_{E18642F3-239E-466A-9095-A35E467057D7}" xr6:coauthVersionLast="45" xr6:coauthVersionMax="45" xr10:uidLastSave="{00000000-0000-0000-0000-000000000000}"/>
  <bookViews>
    <workbookView xWindow="-120" yWindow="-120" windowWidth="29040" windowHeight="15840" tabRatio="782" xr2:uid="{B6AC5246-6E47-4F1F-B461-CEEF29CF9329}"/>
  </bookViews>
  <sheets>
    <sheet name="Current Position Table" sheetId="50" r:id="rId1"/>
    <sheet name="Trend Chart" sheetId="48" r:id="rId2"/>
    <sheet name="pm_chrt_data" sheetId="46" state="hidden" r:id="rId3"/>
    <sheet name="Lookup" sheetId="2" state="hidden" r:id="rId4"/>
    <sheet name="PM_Daily_Data" sheetId="45" state="hidden" r:id="rId5"/>
    <sheet name="PM_C_Data" sheetId="44" state="hidden" r:id="rId6"/>
    <sheet name="PM_Pop_Data" sheetId="51" state="hidden" r:id="rId7"/>
    <sheet name="Eligible Population Chart" sheetId="52" state="hidden" r:id="rId8"/>
    <sheet name="Phase 3 demand profiles" sheetId="54" state="hidden" r:id="rId9"/>
  </sheets>
  <definedNames>
    <definedName name="_xlnm._FilterDatabase" localSheetId="5" hidden="1">PM_C_Data!$A$2:$Z$45</definedName>
    <definedName name="pm_c_1_Val">OFFSET(PM_C_Data!$C$3,0,0,COUNTA(PM_C_Data!$A:$A)-1,COUNTA(PM_C_Data!$2:$2)-2)</definedName>
    <definedName name="pm_c_2_Row">OFFSET(PM_C_Data!$B$3,0,0,COUNTA(PM_C_Data!$A:$A)-1)</definedName>
    <definedName name="pm_c_2_Row_Region">OFFSET(PM_C_Data!$A$3,0,0,COUNTA(PM_C_Data!$A:$A)-1)</definedName>
    <definedName name="pm_c_3_Col">OFFSET(PM_C_Data!$C$2,0,0,1,COUNTA(PM_C_Data!$2:$2)-2)</definedName>
    <definedName name="pm_d_1_Val">OFFSET(PM_Daily_Data!$C$3,0,0,COUNTA(PM_Daily_Data!$A:$A)-1,COUNTA(PM_Daily_Data!$2:$2)-2)</definedName>
    <definedName name="pm_d_2_Row">OFFSET(PM_Daily_Data!$B$3,0,0,COUNTA(PM_Daily_Data!$A:$A)-1)</definedName>
    <definedName name="pm_d_3_Col">OFFSET(PM_Daily_Data!$C$2,0,0,1,COUNTA(PM_Daily_Data!$2:$2)-2)</definedName>
  </definedName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P10" i="46" l="1"/>
  <c r="AQ10" i="46" s="1"/>
  <c r="AP15" i="46"/>
  <c r="AP27" i="46" s="1"/>
  <c r="AP40" i="46"/>
  <c r="AP43" i="46"/>
  <c r="AP9" i="51"/>
  <c r="AQ9" i="51"/>
  <c r="AR9" i="51"/>
  <c r="AK1" i="51"/>
  <c r="AR1" i="51"/>
  <c r="AP2" i="51"/>
  <c r="AQ2" i="51" s="1"/>
  <c r="AR2" i="51" s="1"/>
  <c r="L2" i="51"/>
  <c r="M2" i="51" s="1"/>
  <c r="N2" i="51" s="1"/>
  <c r="O2" i="51" s="1"/>
  <c r="P2" i="51" s="1"/>
  <c r="Q2" i="51" s="1"/>
  <c r="R2" i="51" s="1"/>
  <c r="S2" i="51" s="1"/>
  <c r="T2" i="51" s="1"/>
  <c r="U2" i="51" s="1"/>
  <c r="V2" i="51" s="1"/>
  <c r="W2" i="51" s="1"/>
  <c r="X2" i="51" s="1"/>
  <c r="Y2" i="51" s="1"/>
  <c r="Z2" i="51" s="1"/>
  <c r="AA2" i="51" s="1"/>
  <c r="AB2" i="51" s="1"/>
  <c r="AC2" i="51" s="1"/>
  <c r="AD2" i="51" s="1"/>
  <c r="AE2" i="51" s="1"/>
  <c r="AF2" i="51" s="1"/>
  <c r="AG2" i="51" s="1"/>
  <c r="AH2" i="51" s="1"/>
  <c r="AI2" i="51" s="1"/>
  <c r="AJ2" i="51" s="1"/>
  <c r="AK2" i="51" s="1"/>
  <c r="AL2" i="51" s="1"/>
  <c r="AM2" i="51" s="1"/>
  <c r="AN2" i="51" s="1"/>
  <c r="AO2" i="51" s="1"/>
  <c r="E2" i="51"/>
  <c r="F2" i="51" s="1"/>
  <c r="G2" i="51" s="1"/>
  <c r="H2" i="51" s="1"/>
  <c r="I2" i="51" s="1"/>
  <c r="J2" i="51" s="1"/>
  <c r="K2" i="51" s="1"/>
  <c r="D2" i="51"/>
  <c r="AP8" i="44"/>
  <c r="AQ8" i="44" s="1"/>
  <c r="AR8" i="44" s="1"/>
  <c r="AQ7" i="44"/>
  <c r="AR7" i="44" s="1"/>
  <c r="AP7" i="44"/>
  <c r="AP6" i="44"/>
  <c r="AQ6" i="44" s="1"/>
  <c r="AR6" i="44" s="1"/>
  <c r="AP5" i="44"/>
  <c r="AP9" i="44" s="1"/>
  <c r="AR4" i="44"/>
  <c r="AQ4" i="44"/>
  <c r="AP4" i="44"/>
  <c r="AQ3" i="44"/>
  <c r="AP3" i="44"/>
  <c r="AR2" i="44"/>
  <c r="AQ2" i="44"/>
  <c r="AP2" i="44"/>
  <c r="AL9" i="51"/>
  <c r="AM9" i="51"/>
  <c r="AM10" i="51" s="1"/>
  <c r="AN9" i="51"/>
  <c r="AO9" i="51"/>
  <c r="AM2" i="44"/>
  <c r="AN2" i="44"/>
  <c r="AO2" i="44"/>
  <c r="AM3" i="44"/>
  <c r="AM9" i="44" s="1"/>
  <c r="AN3" i="44"/>
  <c r="AO3" i="44" s="1"/>
  <c r="AM4" i="44"/>
  <c r="AN4" i="44"/>
  <c r="AO4" i="44"/>
  <c r="AM5" i="44"/>
  <c r="AN5" i="44"/>
  <c r="AO5" i="44" s="1"/>
  <c r="AM6" i="44"/>
  <c r="AN6" i="44" s="1"/>
  <c r="AO6" i="44" s="1"/>
  <c r="AM7" i="44"/>
  <c r="AN7" i="44"/>
  <c r="AO7" i="44"/>
  <c r="AM8" i="44"/>
  <c r="AN8" i="44" s="1"/>
  <c r="AO8" i="44" s="1"/>
  <c r="W2" i="44"/>
  <c r="X2" i="44"/>
  <c r="Y2" i="44"/>
  <c r="Z2" i="44"/>
  <c r="AA2" i="44"/>
  <c r="AB2" i="44"/>
  <c r="AC2" i="44"/>
  <c r="AD2" i="44"/>
  <c r="AE2" i="44"/>
  <c r="AF2" i="44"/>
  <c r="AG2" i="44"/>
  <c r="AH2" i="44"/>
  <c r="AI2" i="44"/>
  <c r="AJ2" i="44"/>
  <c r="AK2" i="44"/>
  <c r="AL2" i="44"/>
  <c r="V2" i="44"/>
  <c r="U2" i="44"/>
  <c r="F2" i="44"/>
  <c r="G2" i="44"/>
  <c r="H2" i="44"/>
  <c r="I2" i="44"/>
  <c r="J2" i="44"/>
  <c r="K2" i="44"/>
  <c r="L2" i="44"/>
  <c r="M2" i="44"/>
  <c r="N2" i="44"/>
  <c r="O2" i="44"/>
  <c r="P2" i="44"/>
  <c r="Q2" i="44"/>
  <c r="R2" i="44"/>
  <c r="S2" i="44"/>
  <c r="T2" i="44"/>
  <c r="E2" i="44"/>
  <c r="AL9" i="45"/>
  <c r="AM9" i="45"/>
  <c r="AN9" i="45"/>
  <c r="AO9" i="45"/>
  <c r="AP9" i="45"/>
  <c r="AQ9" i="45"/>
  <c r="AR9" i="45"/>
  <c r="AL2" i="45"/>
  <c r="AM2" i="45" s="1"/>
  <c r="AN2" i="45" s="1"/>
  <c r="AO2" i="45" s="1"/>
  <c r="AP2" i="45" s="1"/>
  <c r="AQ2" i="45" s="1"/>
  <c r="AR2" i="45" s="1"/>
  <c r="AQ77" i="46" l="1"/>
  <c r="AQ43" i="46"/>
  <c r="AR10" i="46"/>
  <c r="AQ15" i="46"/>
  <c r="AQ27" i="46" s="1"/>
  <c r="AQ12" i="46"/>
  <c r="AQ24" i="46" s="1"/>
  <c r="AQ40" i="46"/>
  <c r="AQ14" i="46"/>
  <c r="AQ26" i="46" s="1"/>
  <c r="AQ42" i="46"/>
  <c r="AQ11" i="46"/>
  <c r="AQ39" i="46"/>
  <c r="AQ16" i="46"/>
  <c r="AQ28" i="46" s="1"/>
  <c r="AQ44" i="46"/>
  <c r="AQ13" i="46"/>
  <c r="AQ25" i="46" s="1"/>
  <c r="AQ41" i="46"/>
  <c r="AQ22" i="46"/>
  <c r="AQ38" i="46"/>
  <c r="AP77" i="46"/>
  <c r="AP22" i="46"/>
  <c r="AP44" i="46"/>
  <c r="AP16" i="46"/>
  <c r="AP28" i="46" s="1"/>
  <c r="AP38" i="46"/>
  <c r="AP41" i="46"/>
  <c r="AP13" i="46"/>
  <c r="AP25" i="46" s="1"/>
  <c r="AP39" i="46"/>
  <c r="AP11" i="46"/>
  <c r="AP42" i="46"/>
  <c r="AP14" i="46"/>
  <c r="AP26" i="46" s="1"/>
  <c r="AP12" i="46"/>
  <c r="AP24" i="46" s="1"/>
  <c r="AQ5" i="44"/>
  <c r="AR5" i="44" s="1"/>
  <c r="AR3" i="44"/>
  <c r="AR9" i="44" s="1"/>
  <c r="AO9" i="44"/>
  <c r="AN9" i="44"/>
  <c r="L4" i="50"/>
  <c r="Y15" i="48"/>
  <c r="AQ45" i="46" l="1"/>
  <c r="AP17" i="46"/>
  <c r="AP29" i="46" s="1"/>
  <c r="AP23" i="46"/>
  <c r="AP79" i="46"/>
  <c r="AP82" i="46"/>
  <c r="AP45" i="46"/>
  <c r="AR13" i="46"/>
  <c r="AR25" i="46" s="1"/>
  <c r="AR22" i="46"/>
  <c r="AR38" i="46"/>
  <c r="AS10" i="46"/>
  <c r="AR15" i="46"/>
  <c r="AR27" i="46" s="1"/>
  <c r="AR43" i="46"/>
  <c r="AR12" i="46"/>
  <c r="AR24" i="46" s="1"/>
  <c r="AR40" i="46"/>
  <c r="AR44" i="46"/>
  <c r="AR41" i="46"/>
  <c r="AR16" i="46"/>
  <c r="AR28" i="46" s="1"/>
  <c r="AR77" i="46"/>
  <c r="AR14" i="46"/>
  <c r="AR26" i="46" s="1"/>
  <c r="AR42" i="46"/>
  <c r="AR11" i="46"/>
  <c r="AR39" i="46"/>
  <c r="AQ17" i="46"/>
  <c r="AQ29" i="46" s="1"/>
  <c r="AQ23" i="46"/>
  <c r="AQ79" i="46"/>
  <c r="AQ82" i="46"/>
  <c r="AQ9" i="44"/>
  <c r="B43" i="48"/>
  <c r="G14" i="54"/>
  <c r="H14" i="54"/>
  <c r="I14" i="54" s="1"/>
  <c r="J14" i="54" s="1"/>
  <c r="K14" i="54" s="1"/>
  <c r="L14" i="54" s="1"/>
  <c r="M14" i="54" s="1"/>
  <c r="N14" i="54" s="1"/>
  <c r="O14" i="54" s="1"/>
  <c r="P14" i="54" s="1"/>
  <c r="Q14" i="54" s="1"/>
  <c r="R14" i="54" s="1"/>
  <c r="S14" i="54" s="1"/>
  <c r="T14" i="54" s="1"/>
  <c r="U14" i="54" s="1"/>
  <c r="V14" i="54" s="1"/>
  <c r="G15" i="54"/>
  <c r="H15" i="54"/>
  <c r="I15" i="54" s="1"/>
  <c r="J15" i="54" s="1"/>
  <c r="K15" i="54" s="1"/>
  <c r="L15" i="54" s="1"/>
  <c r="M15" i="54" s="1"/>
  <c r="N15" i="54" s="1"/>
  <c r="O15" i="54" s="1"/>
  <c r="P15" i="54" s="1"/>
  <c r="Q15" i="54" s="1"/>
  <c r="R15" i="54" s="1"/>
  <c r="S15" i="54" s="1"/>
  <c r="T15" i="54" s="1"/>
  <c r="U15" i="54" s="1"/>
  <c r="V15" i="54" s="1"/>
  <c r="G16" i="54"/>
  <c r="H16" i="54"/>
  <c r="I16" i="54" s="1"/>
  <c r="J16" i="54" s="1"/>
  <c r="K16" i="54" s="1"/>
  <c r="L16" i="54" s="1"/>
  <c r="M16" i="54" s="1"/>
  <c r="N16" i="54" s="1"/>
  <c r="O16" i="54" s="1"/>
  <c r="P16" i="54" s="1"/>
  <c r="Q16" i="54" s="1"/>
  <c r="R16" i="54" s="1"/>
  <c r="S16" i="54" s="1"/>
  <c r="T16" i="54" s="1"/>
  <c r="U16" i="54" s="1"/>
  <c r="V16" i="54" s="1"/>
  <c r="G17" i="54"/>
  <c r="H17" i="54"/>
  <c r="I17" i="54" s="1"/>
  <c r="J17" i="54" s="1"/>
  <c r="K17" i="54" s="1"/>
  <c r="L17" i="54" s="1"/>
  <c r="M17" i="54" s="1"/>
  <c r="N17" i="54" s="1"/>
  <c r="O17" i="54" s="1"/>
  <c r="P17" i="54" s="1"/>
  <c r="Q17" i="54" s="1"/>
  <c r="R17" i="54" s="1"/>
  <c r="S17" i="54" s="1"/>
  <c r="T17" i="54" s="1"/>
  <c r="U17" i="54" s="1"/>
  <c r="V17" i="54" s="1"/>
  <c r="G18" i="54"/>
  <c r="H18" i="54"/>
  <c r="I18" i="54" s="1"/>
  <c r="J18" i="54" s="1"/>
  <c r="K18" i="54" s="1"/>
  <c r="L18" i="54" s="1"/>
  <c r="M18" i="54" s="1"/>
  <c r="N18" i="54" s="1"/>
  <c r="O18" i="54" s="1"/>
  <c r="P18" i="54" s="1"/>
  <c r="Q18" i="54" s="1"/>
  <c r="R18" i="54" s="1"/>
  <c r="S18" i="54" s="1"/>
  <c r="T18" i="54" s="1"/>
  <c r="U18" i="54" s="1"/>
  <c r="V18" i="54" s="1"/>
  <c r="G19" i="54"/>
  <c r="H19" i="54"/>
  <c r="I19" i="54" s="1"/>
  <c r="J19" i="54" s="1"/>
  <c r="K19" i="54" s="1"/>
  <c r="L19" i="54" s="1"/>
  <c r="M19" i="54" s="1"/>
  <c r="N19" i="54" s="1"/>
  <c r="O19" i="54" s="1"/>
  <c r="P19" i="54" s="1"/>
  <c r="Q19" i="54" s="1"/>
  <c r="R19" i="54" s="1"/>
  <c r="S19" i="54" s="1"/>
  <c r="T19" i="54" s="1"/>
  <c r="U19" i="54" s="1"/>
  <c r="V19" i="54" s="1"/>
  <c r="G20" i="54"/>
  <c r="H20" i="54"/>
  <c r="I20" i="54" s="1"/>
  <c r="J20" i="54" s="1"/>
  <c r="K20" i="54" s="1"/>
  <c r="L20" i="54" s="1"/>
  <c r="M20" i="54" s="1"/>
  <c r="N20" i="54" s="1"/>
  <c r="O20" i="54" s="1"/>
  <c r="P20" i="54" s="1"/>
  <c r="Q20" i="54" s="1"/>
  <c r="R20" i="54" s="1"/>
  <c r="S20" i="54" s="1"/>
  <c r="T20" i="54" s="1"/>
  <c r="U20" i="54" s="1"/>
  <c r="V20" i="54" s="1"/>
  <c r="X15" i="48"/>
  <c r="AR82" i="46" l="1"/>
  <c r="AR79" i="46"/>
  <c r="AS13" i="46"/>
  <c r="AS25" i="46" s="1"/>
  <c r="AS22" i="46"/>
  <c r="AS38" i="46"/>
  <c r="AS77" i="46"/>
  <c r="AT10" i="46"/>
  <c r="AS15" i="46"/>
  <c r="AS27" i="46" s="1"/>
  <c r="AS43" i="46"/>
  <c r="AS12" i="46"/>
  <c r="AS24" i="46" s="1"/>
  <c r="AS40" i="46"/>
  <c r="AS14" i="46"/>
  <c r="AS26" i="46" s="1"/>
  <c r="AS11" i="46"/>
  <c r="AS16" i="46"/>
  <c r="AS28" i="46" s="1"/>
  <c r="AS44" i="46"/>
  <c r="AS41" i="46"/>
  <c r="AS42" i="46"/>
  <c r="AS39" i="46"/>
  <c r="AR45" i="46"/>
  <c r="AR17" i="46"/>
  <c r="AR29" i="46" s="1"/>
  <c r="AR23" i="46"/>
  <c r="D14" i="54"/>
  <c r="AS45" i="46" l="1"/>
  <c r="AS82" i="46"/>
  <c r="AS79" i="46"/>
  <c r="AT11" i="46"/>
  <c r="AT16" i="46"/>
  <c r="AT28" i="46" s="1"/>
  <c r="AT13" i="46"/>
  <c r="AT25" i="46" s="1"/>
  <c r="AT41" i="46"/>
  <c r="AT22" i="46"/>
  <c r="AT38" i="46"/>
  <c r="AT77" i="46"/>
  <c r="AT44" i="46"/>
  <c r="AT15" i="46"/>
  <c r="AT27" i="46" s="1"/>
  <c r="AT43" i="46"/>
  <c r="AT42" i="46"/>
  <c r="AT39" i="46"/>
  <c r="AT12" i="46"/>
  <c r="AT24" i="46" s="1"/>
  <c r="AT40" i="46"/>
  <c r="AT14" i="46"/>
  <c r="AT26" i="46" s="1"/>
  <c r="AS23" i="46"/>
  <c r="AS17" i="46"/>
  <c r="AS29" i="46" s="1"/>
  <c r="W24" i="48"/>
  <c r="D15" i="54"/>
  <c r="E15" i="54"/>
  <c r="F15" i="54"/>
  <c r="D16" i="54"/>
  <c r="E16" i="54"/>
  <c r="F16" i="54" s="1"/>
  <c r="D17" i="54"/>
  <c r="E17" i="54"/>
  <c r="F17" i="54"/>
  <c r="D18" i="54"/>
  <c r="E18" i="54"/>
  <c r="F18" i="54"/>
  <c r="D19" i="54"/>
  <c r="E19" i="54" s="1"/>
  <c r="F19" i="54" s="1"/>
  <c r="D20" i="54"/>
  <c r="E20" i="54"/>
  <c r="F20" i="54"/>
  <c r="C15" i="54"/>
  <c r="C16" i="54"/>
  <c r="C17" i="54"/>
  <c r="C18" i="54"/>
  <c r="C19" i="54"/>
  <c r="C20" i="54"/>
  <c r="E14" i="54"/>
  <c r="F14" i="54" s="1"/>
  <c r="C14" i="54"/>
  <c r="D11" i="54"/>
  <c r="E11" i="54"/>
  <c r="F11" i="54"/>
  <c r="G11" i="54"/>
  <c r="H11" i="54"/>
  <c r="I11" i="54"/>
  <c r="J11" i="54"/>
  <c r="K11" i="54"/>
  <c r="L11" i="54"/>
  <c r="M11" i="54"/>
  <c r="N11" i="54"/>
  <c r="O11" i="54"/>
  <c r="P11" i="54"/>
  <c r="Q11" i="54"/>
  <c r="R11" i="54"/>
  <c r="S11" i="54"/>
  <c r="T11" i="54"/>
  <c r="U11" i="54"/>
  <c r="V11" i="54"/>
  <c r="C11" i="54"/>
  <c r="AT23" i="46" l="1"/>
  <c r="AT17" i="46"/>
  <c r="AT29" i="46" s="1"/>
  <c r="AT82" i="46"/>
  <c r="AT45" i="46"/>
  <c r="E97" i="46"/>
  <c r="G64" i="46"/>
  <c r="E4" i="50"/>
  <c r="C77" i="46"/>
  <c r="AT86" i="46" s="1"/>
  <c r="C65" i="46"/>
  <c r="X12" i="48"/>
  <c r="F38" i="46"/>
  <c r="G38" i="46"/>
  <c r="E38" i="46"/>
  <c r="D9" i="45"/>
  <c r="E9" i="45"/>
  <c r="F9" i="45"/>
  <c r="G9" i="45"/>
  <c r="H9" i="45"/>
  <c r="I9" i="45"/>
  <c r="J9" i="45"/>
  <c r="K9" i="45"/>
  <c r="L9" i="45"/>
  <c r="M9" i="45"/>
  <c r="N9" i="45"/>
  <c r="O9" i="45"/>
  <c r="P9" i="45"/>
  <c r="Q9" i="45"/>
  <c r="R9" i="45"/>
  <c r="S9" i="45"/>
  <c r="T9" i="45"/>
  <c r="U9" i="45"/>
  <c r="V9" i="45"/>
  <c r="W9" i="45"/>
  <c r="X9" i="45"/>
  <c r="Y9" i="45"/>
  <c r="Z9" i="45"/>
  <c r="AA9" i="45"/>
  <c r="AB9" i="45"/>
  <c r="AC9" i="45"/>
  <c r="AD9" i="45"/>
  <c r="AE9" i="45"/>
  <c r="AF9" i="45"/>
  <c r="AG9" i="45"/>
  <c r="AH9" i="45"/>
  <c r="AI9" i="45"/>
  <c r="AJ9" i="45"/>
  <c r="AK9" i="45"/>
  <c r="C9" i="45"/>
  <c r="K9" i="51"/>
  <c r="L9" i="51"/>
  <c r="M9" i="51"/>
  <c r="M10" i="51" s="1"/>
  <c r="N9" i="51"/>
  <c r="O9" i="51"/>
  <c r="O10" i="51" s="1"/>
  <c r="P9" i="51"/>
  <c r="Q9" i="51"/>
  <c r="R9" i="51"/>
  <c r="R10" i="51" s="1"/>
  <c r="S9" i="51"/>
  <c r="S10" i="51" s="1"/>
  <c r="T9" i="51"/>
  <c r="U9" i="51"/>
  <c r="U10" i="51" s="1"/>
  <c r="V9" i="51"/>
  <c r="V10" i="51" s="1"/>
  <c r="W9" i="51"/>
  <c r="W10" i="51" s="1"/>
  <c r="X9" i="51"/>
  <c r="Y9" i="51"/>
  <c r="Z9" i="51"/>
  <c r="AA9" i="51"/>
  <c r="AA10" i="51" s="1"/>
  <c r="AB9" i="51"/>
  <c r="AC9" i="51"/>
  <c r="AC10" i="51" s="1"/>
  <c r="AD9" i="51"/>
  <c r="AE9" i="51"/>
  <c r="AE10" i="51" s="1"/>
  <c r="AF9" i="51"/>
  <c r="AG9" i="51"/>
  <c r="AH9" i="51"/>
  <c r="AH10" i="51" s="1"/>
  <c r="AI9" i="51"/>
  <c r="AI10" i="51" s="1"/>
  <c r="AJ9" i="51"/>
  <c r="AK9" i="51"/>
  <c r="AL10" i="51" s="1"/>
  <c r="J9" i="51"/>
  <c r="E22" i="46"/>
  <c r="F10" i="46"/>
  <c r="B8" i="51"/>
  <c r="A8" i="51"/>
  <c r="B7" i="51"/>
  <c r="A7" i="51"/>
  <c r="B6" i="51"/>
  <c r="A6" i="51"/>
  <c r="B5" i="51"/>
  <c r="A5" i="51"/>
  <c r="B4" i="51"/>
  <c r="A4" i="51"/>
  <c r="B3" i="51"/>
  <c r="A3" i="51"/>
  <c r="C2" i="51"/>
  <c r="I1" i="51" s="1"/>
  <c r="B2" i="51"/>
  <c r="A2" i="51"/>
  <c r="C4" i="44"/>
  <c r="D4" i="44" s="1"/>
  <c r="E4" i="44" s="1"/>
  <c r="F4" i="44" s="1"/>
  <c r="G4" i="44" s="1"/>
  <c r="H4" i="44" s="1"/>
  <c r="I4" i="44" s="1"/>
  <c r="J4" i="44" s="1"/>
  <c r="K4" i="44" s="1"/>
  <c r="L4" i="44" s="1"/>
  <c r="M4" i="44" s="1"/>
  <c r="N4" i="44" s="1"/>
  <c r="O4" i="44" s="1"/>
  <c r="P4" i="44" s="1"/>
  <c r="Q4" i="44" s="1"/>
  <c r="R4" i="44" s="1"/>
  <c r="S4" i="44" s="1"/>
  <c r="T4" i="44" s="1"/>
  <c r="U4" i="44" s="1"/>
  <c r="V4" i="44" s="1"/>
  <c r="W4" i="44" s="1"/>
  <c r="X4" i="44" s="1"/>
  <c r="Y4" i="44" s="1"/>
  <c r="Z4" i="44" s="1"/>
  <c r="AA4" i="44" s="1"/>
  <c r="AB4" i="44" s="1"/>
  <c r="AC4" i="44" s="1"/>
  <c r="AD4" i="44" s="1"/>
  <c r="AE4" i="44" s="1"/>
  <c r="AF4" i="44" s="1"/>
  <c r="AG4" i="44" s="1"/>
  <c r="AH4" i="44" s="1"/>
  <c r="AI4" i="44" s="1"/>
  <c r="AJ4" i="44" s="1"/>
  <c r="AK4" i="44" s="1"/>
  <c r="AL4" i="44" s="1"/>
  <c r="C5" i="44"/>
  <c r="C6" i="44"/>
  <c r="D6" i="44" s="1"/>
  <c r="E6" i="44" s="1"/>
  <c r="C7" i="44"/>
  <c r="D7" i="44" s="1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U7" i="44" s="1"/>
  <c r="V7" i="44" s="1"/>
  <c r="W7" i="44" s="1"/>
  <c r="X7" i="44" s="1"/>
  <c r="Y7" i="44" s="1"/>
  <c r="Z7" i="44" s="1"/>
  <c r="AA7" i="44" s="1"/>
  <c r="AB7" i="44" s="1"/>
  <c r="AC7" i="44" s="1"/>
  <c r="AD7" i="44" s="1"/>
  <c r="AE7" i="44" s="1"/>
  <c r="AF7" i="44" s="1"/>
  <c r="AG7" i="44" s="1"/>
  <c r="AH7" i="44" s="1"/>
  <c r="AI7" i="44" s="1"/>
  <c r="AJ7" i="44" s="1"/>
  <c r="AK7" i="44" s="1"/>
  <c r="AL7" i="44" s="1"/>
  <c r="C8" i="44"/>
  <c r="D8" i="44" s="1"/>
  <c r="E8" i="44" s="1"/>
  <c r="F8" i="44" s="1"/>
  <c r="G8" i="44" s="1"/>
  <c r="H8" i="44" s="1"/>
  <c r="I8" i="44" s="1"/>
  <c r="J8" i="44" s="1"/>
  <c r="K8" i="44" s="1"/>
  <c r="L8" i="44" s="1"/>
  <c r="M8" i="44" s="1"/>
  <c r="N8" i="44" s="1"/>
  <c r="O8" i="44" s="1"/>
  <c r="P8" i="44" s="1"/>
  <c r="Q8" i="44" s="1"/>
  <c r="R8" i="44" s="1"/>
  <c r="S8" i="44" s="1"/>
  <c r="T8" i="44" s="1"/>
  <c r="U8" i="44" s="1"/>
  <c r="V8" i="44" s="1"/>
  <c r="W8" i="44" s="1"/>
  <c r="X8" i="44" s="1"/>
  <c r="Y8" i="44" s="1"/>
  <c r="Z8" i="44" s="1"/>
  <c r="AA8" i="44" s="1"/>
  <c r="AB8" i="44" s="1"/>
  <c r="AC8" i="44" s="1"/>
  <c r="AD8" i="44" s="1"/>
  <c r="AE8" i="44" s="1"/>
  <c r="AF8" i="44" s="1"/>
  <c r="AG8" i="44" s="1"/>
  <c r="AH8" i="44" s="1"/>
  <c r="AI8" i="44" s="1"/>
  <c r="AJ8" i="44" s="1"/>
  <c r="AK8" i="44" s="1"/>
  <c r="AL8" i="44" s="1"/>
  <c r="C3" i="44"/>
  <c r="D3" i="44" s="1"/>
  <c r="E3" i="44" s="1"/>
  <c r="F3" i="44" s="1"/>
  <c r="G3" i="44" s="1"/>
  <c r="D2" i="44"/>
  <c r="C2" i="44"/>
  <c r="B2" i="44"/>
  <c r="B3" i="44"/>
  <c r="B4" i="44"/>
  <c r="B5" i="44"/>
  <c r="B6" i="44"/>
  <c r="B7" i="44"/>
  <c r="B8" i="44"/>
  <c r="A3" i="44"/>
  <c r="A4" i="44"/>
  <c r="A5" i="44"/>
  <c r="A6" i="44"/>
  <c r="A7" i="44"/>
  <c r="A8" i="44"/>
  <c r="A2" i="44"/>
  <c r="E2" i="45"/>
  <c r="D2" i="45"/>
  <c r="AS86" i="46" l="1"/>
  <c r="AQ85" i="46"/>
  <c r="AP85" i="46"/>
  <c r="AQ78" i="46"/>
  <c r="AP78" i="46"/>
  <c r="AR78" i="46"/>
  <c r="AQ80" i="46"/>
  <c r="AP80" i="46"/>
  <c r="AP86" i="46"/>
  <c r="AQ86" i="46"/>
  <c r="AR85" i="46"/>
  <c r="AR80" i="46"/>
  <c r="AR86" i="46"/>
  <c r="AS80" i="46"/>
  <c r="AS85" i="46"/>
  <c r="AT80" i="46"/>
  <c r="AT85" i="46"/>
  <c r="AT78" i="46"/>
  <c r="AT79" i="46" s="1"/>
  <c r="AS78" i="46"/>
  <c r="AG10" i="51"/>
  <c r="Y10" i="51"/>
  <c r="Q10" i="51"/>
  <c r="AD10" i="51"/>
  <c r="N10" i="51"/>
  <c r="Z10" i="51"/>
  <c r="AK10" i="51"/>
  <c r="AJ10" i="51"/>
  <c r="AB10" i="51"/>
  <c r="T10" i="51"/>
  <c r="L10" i="51"/>
  <c r="K10" i="51"/>
  <c r="AF10" i="51"/>
  <c r="X10" i="51"/>
  <c r="P10" i="51"/>
  <c r="H3" i="44"/>
  <c r="F6" i="44"/>
  <c r="G6" i="44" s="1"/>
  <c r="H6" i="44" s="1"/>
  <c r="I6" i="44" s="1"/>
  <c r="J6" i="44" s="1"/>
  <c r="K6" i="44" s="1"/>
  <c r="L6" i="44" s="1"/>
  <c r="M6" i="44" s="1"/>
  <c r="N6" i="44" s="1"/>
  <c r="O6" i="44" s="1"/>
  <c r="P6" i="44" s="1"/>
  <c r="Q6" i="44" s="1"/>
  <c r="R6" i="44" s="1"/>
  <c r="S6" i="44" s="1"/>
  <c r="T6" i="44" s="1"/>
  <c r="U6" i="44" s="1"/>
  <c r="V6" i="44" s="1"/>
  <c r="W6" i="44" s="1"/>
  <c r="X6" i="44" s="1"/>
  <c r="Y6" i="44" s="1"/>
  <c r="Z6" i="44" s="1"/>
  <c r="AA6" i="44" s="1"/>
  <c r="AB6" i="44" s="1"/>
  <c r="AC6" i="44" s="1"/>
  <c r="AD6" i="44" s="1"/>
  <c r="AE6" i="44" s="1"/>
  <c r="AF6" i="44" s="1"/>
  <c r="AG6" i="44" s="1"/>
  <c r="AH6" i="44" s="1"/>
  <c r="AI6" i="44" s="1"/>
  <c r="AJ6" i="44" s="1"/>
  <c r="AK6" i="44" s="1"/>
  <c r="AL6" i="44" s="1"/>
  <c r="F2" i="45"/>
  <c r="C9" i="44"/>
  <c r="D5" i="44"/>
  <c r="E5" i="44" s="1"/>
  <c r="F5" i="44" s="1"/>
  <c r="C23" i="50"/>
  <c r="B23" i="50" s="1"/>
  <c r="E9" i="44" l="1"/>
  <c r="F9" i="44"/>
  <c r="G5" i="44"/>
  <c r="I3" i="44"/>
  <c r="G2" i="45"/>
  <c r="D9" i="44"/>
  <c r="E22" i="50"/>
  <c r="J3" i="44" l="1"/>
  <c r="H5" i="44"/>
  <c r="G9" i="44"/>
  <c r="H2" i="45"/>
  <c r="A8" i="46"/>
  <c r="C33" i="50" s="1"/>
  <c r="C82" i="46"/>
  <c r="E1" i="46"/>
  <c r="D64" i="46"/>
  <c r="K3" i="44" l="1"/>
  <c r="I5" i="44"/>
  <c r="H9" i="44"/>
  <c r="I2" i="45"/>
  <c r="J5" i="44" l="1"/>
  <c r="I9" i="44"/>
  <c r="L3" i="44"/>
  <c r="J2" i="45"/>
  <c r="C61" i="46"/>
  <c r="C40" i="46"/>
  <c r="C41" i="46"/>
  <c r="C42" i="46"/>
  <c r="C43" i="46"/>
  <c r="C44" i="46"/>
  <c r="C39" i="46"/>
  <c r="AX38" i="46"/>
  <c r="AY38" i="46" s="1"/>
  <c r="AZ38" i="46" s="1"/>
  <c r="BA38" i="46" s="1"/>
  <c r="BB38" i="46" s="1"/>
  <c r="BC38" i="46" s="1"/>
  <c r="BD38" i="46" s="1"/>
  <c r="BE38" i="46" s="1"/>
  <c r="BF38" i="46" s="1"/>
  <c r="BG38" i="46" s="1"/>
  <c r="BH38" i="46" s="1"/>
  <c r="BI38" i="46" s="1"/>
  <c r="BJ38" i="46" s="1"/>
  <c r="BK38" i="46" s="1"/>
  <c r="BL38" i="46" s="1"/>
  <c r="BM38" i="46" s="1"/>
  <c r="BN38" i="46" s="1"/>
  <c r="BO38" i="46" s="1"/>
  <c r="BP38" i="46" s="1"/>
  <c r="BQ38" i="46" s="1"/>
  <c r="BR38" i="46" s="1"/>
  <c r="BS38" i="46" s="1"/>
  <c r="BT38" i="46" s="1"/>
  <c r="BU38" i="46" s="1"/>
  <c r="F22" i="46"/>
  <c r="G10" i="46"/>
  <c r="M3" i="44" l="1"/>
  <c r="K5" i="44"/>
  <c r="J9" i="44"/>
  <c r="K2" i="45"/>
  <c r="P1" i="51"/>
  <c r="C60" i="46"/>
  <c r="C58" i="46"/>
  <c r="C57" i="46"/>
  <c r="C56" i="46"/>
  <c r="C55" i="46"/>
  <c r="H10" i="46"/>
  <c r="H38" i="46" s="1"/>
  <c r="C59" i="46"/>
  <c r="G22" i="46"/>
  <c r="L5" i="44" l="1"/>
  <c r="K9" i="44"/>
  <c r="N3" i="44"/>
  <c r="L2" i="45"/>
  <c r="C28" i="54"/>
  <c r="C37" i="54" s="1"/>
  <c r="C45" i="54" s="1"/>
  <c r="C25" i="54"/>
  <c r="C34" i="54" s="1"/>
  <c r="C42" i="54" s="1"/>
  <c r="C23" i="54"/>
  <c r="C32" i="54" s="1"/>
  <c r="C40" i="54" s="1"/>
  <c r="C24" i="54"/>
  <c r="C33" i="54" s="1"/>
  <c r="C41" i="54" s="1"/>
  <c r="C29" i="54"/>
  <c r="C38" i="54" s="1"/>
  <c r="C46" i="54" s="1"/>
  <c r="C26" i="54"/>
  <c r="C35" i="54" s="1"/>
  <c r="C43" i="54" s="1"/>
  <c r="C27" i="54"/>
  <c r="C36" i="54" s="1"/>
  <c r="C44" i="54" s="1"/>
  <c r="I10" i="46"/>
  <c r="I38" i="46" s="1"/>
  <c r="H22" i="46"/>
  <c r="F11" i="2"/>
  <c r="F12" i="2"/>
  <c r="F13" i="2"/>
  <c r="F14" i="2"/>
  <c r="F15" i="2"/>
  <c r="F10" i="2"/>
  <c r="E11" i="2"/>
  <c r="E12" i="2"/>
  <c r="E13" i="2"/>
  <c r="E14" i="2"/>
  <c r="E16" i="2" s="1"/>
  <c r="E15" i="2"/>
  <c r="E10" i="2"/>
  <c r="O3" i="44" l="1"/>
  <c r="M5" i="44"/>
  <c r="L9" i="44"/>
  <c r="M2" i="45"/>
  <c r="I22" i="46"/>
  <c r="J10" i="46"/>
  <c r="J38" i="46" s="1"/>
  <c r="F16" i="2"/>
  <c r="J22" i="46" l="1"/>
  <c r="P3" i="44"/>
  <c r="N5" i="44"/>
  <c r="M9" i="44"/>
  <c r="N2" i="45"/>
  <c r="K10" i="46"/>
  <c r="K38" i="46" s="1"/>
  <c r="AX24" i="46"/>
  <c r="AY24" i="46"/>
  <c r="BH24" i="46"/>
  <c r="BI24" i="46"/>
  <c r="BA24" i="46"/>
  <c r="BD24" i="46"/>
  <c r="BE24" i="46"/>
  <c r="BF24" i="46"/>
  <c r="BG24" i="46"/>
  <c r="BP24" i="46"/>
  <c r="BN24" i="46"/>
  <c r="BR24" i="46"/>
  <c r="BC24" i="46"/>
  <c r="BL24" i="46"/>
  <c r="BM24" i="46"/>
  <c r="BO24" i="46"/>
  <c r="BQ24" i="46"/>
  <c r="BB24" i="46"/>
  <c r="BK24" i="46"/>
  <c r="BT24" i="46"/>
  <c r="BU24" i="46"/>
  <c r="BJ24" i="46"/>
  <c r="BS24" i="46"/>
  <c r="AZ24" i="46"/>
  <c r="AX25" i="46"/>
  <c r="BG25" i="46"/>
  <c r="BP25" i="46"/>
  <c r="BQ25" i="46"/>
  <c r="BS25" i="46"/>
  <c r="BF25" i="46"/>
  <c r="BO25" i="46"/>
  <c r="AZ25" i="46"/>
  <c r="AY25" i="46"/>
  <c r="BN25" i="46"/>
  <c r="BE25" i="46"/>
  <c r="BB25" i="46"/>
  <c r="BC25" i="46"/>
  <c r="BK25" i="46"/>
  <c r="BT25" i="46"/>
  <c r="BL25" i="46"/>
  <c r="BH25" i="46"/>
  <c r="BR25" i="46"/>
  <c r="BI25" i="46"/>
  <c r="BD25" i="46"/>
  <c r="BM25" i="46"/>
  <c r="BU25" i="46"/>
  <c r="BA25" i="46"/>
  <c r="BJ25" i="46"/>
  <c r="AZ29" i="46"/>
  <c r="AY29" i="46"/>
  <c r="BH29" i="46"/>
  <c r="BI29" i="46"/>
  <c r="BJ29" i="46"/>
  <c r="BK29" i="46"/>
  <c r="BT29" i="46"/>
  <c r="BB29" i="46"/>
  <c r="BC29" i="46"/>
  <c r="AX29" i="46"/>
  <c r="BG29" i="46"/>
  <c r="BP29" i="46"/>
  <c r="BQ29" i="46"/>
  <c r="BR29" i="46"/>
  <c r="BS29" i="46"/>
  <c r="BE29" i="46"/>
  <c r="BL29" i="46"/>
  <c r="BF29" i="46"/>
  <c r="BO29" i="46"/>
  <c r="BM29" i="46"/>
  <c r="BN29" i="46"/>
  <c r="BD29" i="46"/>
  <c r="BU29" i="46"/>
  <c r="BA29" i="46"/>
  <c r="AZ26" i="46"/>
  <c r="BQ26" i="46"/>
  <c r="AX26" i="46"/>
  <c r="AY26" i="46"/>
  <c r="BH26" i="46"/>
  <c r="BG26" i="46"/>
  <c r="BP26" i="46"/>
  <c r="BR26" i="46"/>
  <c r="BD26" i="46"/>
  <c r="BE26" i="46"/>
  <c r="BF26" i="46"/>
  <c r="BJ26" i="46"/>
  <c r="BA26" i="46"/>
  <c r="BC26" i="46"/>
  <c r="BL26" i="46"/>
  <c r="BM26" i="46"/>
  <c r="BN26" i="46"/>
  <c r="BO26" i="46"/>
  <c r="BS26" i="46"/>
  <c r="BI26" i="46"/>
  <c r="BB26" i="46"/>
  <c r="BK26" i="46"/>
  <c r="BT26" i="46"/>
  <c r="BU26" i="46"/>
  <c r="BU27" i="46"/>
  <c r="AY27" i="46"/>
  <c r="BH27" i="46"/>
  <c r="BI27" i="46"/>
  <c r="BT27" i="46"/>
  <c r="AX27" i="46"/>
  <c r="BG27" i="46"/>
  <c r="BP27" i="46"/>
  <c r="BQ27" i="46"/>
  <c r="BR27" i="46"/>
  <c r="BS27" i="46"/>
  <c r="AZ27" i="46"/>
  <c r="BF27" i="46"/>
  <c r="BO27" i="46"/>
  <c r="BE27" i="46"/>
  <c r="BD27" i="46"/>
  <c r="BJ27" i="46"/>
  <c r="BK27" i="46"/>
  <c r="BN27" i="46"/>
  <c r="BM27" i="46"/>
  <c r="BA27" i="46"/>
  <c r="BB27" i="46"/>
  <c r="BC27" i="46"/>
  <c r="BL27" i="46"/>
  <c r="BR28" i="46"/>
  <c r="BB28" i="46"/>
  <c r="AZ28" i="46"/>
  <c r="BG28" i="46"/>
  <c r="BP28" i="46"/>
  <c r="BS28" i="46"/>
  <c r="BI28" i="46"/>
  <c r="AX28" i="46"/>
  <c r="AY28" i="46"/>
  <c r="BH28" i="46"/>
  <c r="BU28" i="46"/>
  <c r="BA28" i="46"/>
  <c r="BQ28" i="46"/>
  <c r="BD28" i="46"/>
  <c r="BE28" i="46"/>
  <c r="BF28" i="46"/>
  <c r="BC28" i="46"/>
  <c r="BL28" i="46"/>
  <c r="BM28" i="46"/>
  <c r="BN28" i="46"/>
  <c r="BO28" i="46"/>
  <c r="BK28" i="46"/>
  <c r="BT28" i="46"/>
  <c r="BJ28" i="46"/>
  <c r="BF23" i="46"/>
  <c r="BO23" i="46"/>
  <c r="BN23" i="46"/>
  <c r="BK23" i="46"/>
  <c r="BT23" i="46"/>
  <c r="BM23" i="46"/>
  <c r="BP23" i="46"/>
  <c r="BU23" i="46"/>
  <c r="BH23" i="46"/>
  <c r="BI23" i="46"/>
  <c r="BQ23" i="46"/>
  <c r="BR23" i="46"/>
  <c r="AX23" i="46"/>
  <c r="BD23" i="46"/>
  <c r="BJ23" i="46"/>
  <c r="BG23" i="46"/>
  <c r="BS23" i="46"/>
  <c r="AZ23" i="46"/>
  <c r="BA23" i="46"/>
  <c r="BB23" i="46"/>
  <c r="BC23" i="46"/>
  <c r="BL23" i="46"/>
  <c r="BE23" i="46"/>
  <c r="AY23" i="46"/>
  <c r="O5" i="44" l="1"/>
  <c r="N9" i="44"/>
  <c r="Q3" i="44"/>
  <c r="O2" i="45"/>
  <c r="K22" i="46"/>
  <c r="L10" i="46"/>
  <c r="R3" i="44" l="1"/>
  <c r="P5" i="44"/>
  <c r="O9" i="44"/>
  <c r="P2" i="45"/>
  <c r="L77" i="46"/>
  <c r="L38" i="46"/>
  <c r="M10" i="46"/>
  <c r="M22" i="46" s="1"/>
  <c r="L22" i="46"/>
  <c r="N10" i="46"/>
  <c r="Q5" i="44" l="1"/>
  <c r="P9" i="44"/>
  <c r="S3" i="44"/>
  <c r="Q2" i="45"/>
  <c r="M77" i="46"/>
  <c r="M38" i="46"/>
  <c r="N77" i="46"/>
  <c r="N38" i="46"/>
  <c r="O10" i="46"/>
  <c r="N22" i="46"/>
  <c r="N45" i="2"/>
  <c r="E9" i="2"/>
  <c r="L4" i="2"/>
  <c r="L3" i="2"/>
  <c r="L2" i="2"/>
  <c r="T3" i="44" l="1"/>
  <c r="R5" i="44"/>
  <c r="Q9" i="44"/>
  <c r="R2" i="45"/>
  <c r="W1" i="51"/>
  <c r="O77" i="46"/>
  <c r="O38" i="46"/>
  <c r="P10" i="46"/>
  <c r="O22" i="46"/>
  <c r="S5" i="44" l="1"/>
  <c r="R9" i="44"/>
  <c r="U3" i="44"/>
  <c r="D25" i="54"/>
  <c r="D34" i="54" s="1"/>
  <c r="D42" i="54" s="1"/>
  <c r="D27" i="54"/>
  <c r="D36" i="54" s="1"/>
  <c r="D44" i="54" s="1"/>
  <c r="D24" i="54"/>
  <c r="D33" i="54" s="1"/>
  <c r="D41" i="54" s="1"/>
  <c r="D23" i="54"/>
  <c r="D32" i="54" s="1"/>
  <c r="D40" i="54" s="1"/>
  <c r="D26" i="54"/>
  <c r="D35" i="54" s="1"/>
  <c r="D43" i="54" s="1"/>
  <c r="D28" i="54"/>
  <c r="D37" i="54" s="1"/>
  <c r="D45" i="54" s="1"/>
  <c r="D29" i="54"/>
  <c r="D38" i="54" s="1"/>
  <c r="D46" i="54" s="1"/>
  <c r="S2" i="45"/>
  <c r="P77" i="46"/>
  <c r="P38" i="46"/>
  <c r="G84" i="46"/>
  <c r="I84" i="46"/>
  <c r="K84" i="46"/>
  <c r="J84" i="46"/>
  <c r="H84" i="46"/>
  <c r="Q10" i="46"/>
  <c r="P22" i="46"/>
  <c r="V3" i="44" l="1"/>
  <c r="T5" i="44"/>
  <c r="S9" i="44"/>
  <c r="T2" i="45"/>
  <c r="Q77" i="46"/>
  <c r="Q38" i="46"/>
  <c r="R10" i="46"/>
  <c r="Q22" i="46"/>
  <c r="W3" i="44" l="1"/>
  <c r="U5" i="44"/>
  <c r="T9" i="44"/>
  <c r="U2" i="45"/>
  <c r="R77" i="46"/>
  <c r="R38" i="46"/>
  <c r="S10" i="46"/>
  <c r="R22" i="46"/>
  <c r="X3" i="44" l="1"/>
  <c r="V5" i="44"/>
  <c r="U9" i="44"/>
  <c r="V2" i="45"/>
  <c r="S77" i="46"/>
  <c r="S38" i="46"/>
  <c r="T10" i="46"/>
  <c r="S22" i="46"/>
  <c r="W5" i="44" l="1"/>
  <c r="V9" i="44"/>
  <c r="Y3" i="44"/>
  <c r="W2" i="45"/>
  <c r="T77" i="46"/>
  <c r="T38" i="46"/>
  <c r="U10" i="46"/>
  <c r="T22" i="46"/>
  <c r="Z3" i="44" l="1"/>
  <c r="X5" i="44"/>
  <c r="W9" i="44"/>
  <c r="X2" i="45"/>
  <c r="U77" i="46"/>
  <c r="U38" i="46"/>
  <c r="V10" i="46"/>
  <c r="U22" i="46"/>
  <c r="AA3" i="44" l="1"/>
  <c r="Y5" i="44"/>
  <c r="X9" i="44"/>
  <c r="Y2" i="45"/>
  <c r="AD1" i="51"/>
  <c r="V77" i="46"/>
  <c r="V38" i="46"/>
  <c r="W10" i="46"/>
  <c r="V22" i="46"/>
  <c r="AB3" i="44" l="1"/>
  <c r="Z5" i="44"/>
  <c r="Y9" i="44"/>
  <c r="Z2" i="45"/>
  <c r="E26" i="54"/>
  <c r="E35" i="54" s="1"/>
  <c r="E43" i="54" s="1"/>
  <c r="E25" i="54"/>
  <c r="E34" i="54" s="1"/>
  <c r="E42" i="54" s="1"/>
  <c r="E27" i="54"/>
  <c r="E36" i="54" s="1"/>
  <c r="E44" i="54" s="1"/>
  <c r="E28" i="54"/>
  <c r="E37" i="54" s="1"/>
  <c r="E45" i="54" s="1"/>
  <c r="E24" i="54"/>
  <c r="E33" i="54" s="1"/>
  <c r="E41" i="54" s="1"/>
  <c r="E23" i="54"/>
  <c r="E32" i="54" s="1"/>
  <c r="E40" i="54" s="1"/>
  <c r="E29" i="54"/>
  <c r="E38" i="54" s="1"/>
  <c r="E46" i="54" s="1"/>
  <c r="W77" i="46"/>
  <c r="W38" i="46"/>
  <c r="X10" i="46"/>
  <c r="W22" i="46"/>
  <c r="AA5" i="44" l="1"/>
  <c r="Z9" i="44"/>
  <c r="AC3" i="44"/>
  <c r="AA2" i="45"/>
  <c r="X77" i="46"/>
  <c r="X38" i="46"/>
  <c r="Y10" i="46"/>
  <c r="X22" i="46"/>
  <c r="AD3" i="44" l="1"/>
  <c r="AB5" i="44"/>
  <c r="AA9" i="44"/>
  <c r="AB2" i="45"/>
  <c r="Y77" i="46"/>
  <c r="Y38" i="46"/>
  <c r="Z10" i="46"/>
  <c r="Y22" i="46"/>
  <c r="AC5" i="44" l="1"/>
  <c r="AB9" i="44"/>
  <c r="AE3" i="44"/>
  <c r="AC2" i="45"/>
  <c r="Z77" i="46"/>
  <c r="Z38" i="46"/>
  <c r="AA10" i="46"/>
  <c r="Z22" i="46"/>
  <c r="AF3" i="44" l="1"/>
  <c r="AD5" i="44"/>
  <c r="AC9" i="44"/>
  <c r="AD2" i="45"/>
  <c r="AA77" i="46"/>
  <c r="AA38" i="46"/>
  <c r="AB10" i="46"/>
  <c r="AA22" i="46"/>
  <c r="AG3" i="44" l="1"/>
  <c r="AE5" i="44"/>
  <c r="AD9" i="44"/>
  <c r="AE2" i="45"/>
  <c r="AB77" i="46"/>
  <c r="AB38" i="46"/>
  <c r="AC10" i="46"/>
  <c r="AC38" i="46" s="1"/>
  <c r="AB22" i="46"/>
  <c r="AH3" i="44" l="1"/>
  <c r="AF5" i="44"/>
  <c r="AE9" i="44"/>
  <c r="AF2" i="45"/>
  <c r="AC77" i="46"/>
  <c r="AD10" i="46"/>
  <c r="AD38" i="46" s="1"/>
  <c r="AC22" i="46"/>
  <c r="AI3" i="44" l="1"/>
  <c r="AG5" i="44"/>
  <c r="AF9" i="44"/>
  <c r="F28" i="54"/>
  <c r="F37" i="54" s="1"/>
  <c r="F45" i="54" s="1"/>
  <c r="F23" i="54"/>
  <c r="F32" i="54" s="1"/>
  <c r="F40" i="54" s="1"/>
  <c r="F29" i="54"/>
  <c r="F38" i="54" s="1"/>
  <c r="F46" i="54" s="1"/>
  <c r="F27" i="54"/>
  <c r="F36" i="54" s="1"/>
  <c r="F44" i="54" s="1"/>
  <c r="F26" i="54"/>
  <c r="F35" i="54" s="1"/>
  <c r="F43" i="54" s="1"/>
  <c r="F25" i="54"/>
  <c r="F34" i="54" s="1"/>
  <c r="F42" i="54" s="1"/>
  <c r="F24" i="54"/>
  <c r="F33" i="54" s="1"/>
  <c r="F41" i="54" s="1"/>
  <c r="AG2" i="45"/>
  <c r="AD77" i="46"/>
  <c r="AE10" i="46"/>
  <c r="AE38" i="46" s="1"/>
  <c r="AD22" i="46"/>
  <c r="AJ3" i="44" l="1"/>
  <c r="AH5" i="44"/>
  <c r="AG9" i="44"/>
  <c r="AH2" i="45"/>
  <c r="AE77" i="46"/>
  <c r="AF10" i="46"/>
  <c r="AF38" i="46" s="1"/>
  <c r="AE22" i="46"/>
  <c r="AI5" i="44" l="1"/>
  <c r="AH9" i="44"/>
  <c r="AK3" i="44"/>
  <c r="AI2" i="45"/>
  <c r="AF77" i="46"/>
  <c r="AG10" i="46"/>
  <c r="AG38" i="46" s="1"/>
  <c r="AF22" i="46"/>
  <c r="AL3" i="44" l="1"/>
  <c r="AJ5" i="44"/>
  <c r="AI9" i="44"/>
  <c r="AJ2" i="45"/>
  <c r="AG77" i="46"/>
  <c r="AH10" i="46"/>
  <c r="AH38" i="46" s="1"/>
  <c r="AG22" i="46"/>
  <c r="AK5" i="44" l="1"/>
  <c r="AJ9" i="44"/>
  <c r="AK2" i="45"/>
  <c r="AH77" i="46"/>
  <c r="AI10" i="46"/>
  <c r="AI38" i="46" s="1"/>
  <c r="AH22" i="46"/>
  <c r="AL5" i="44" l="1"/>
  <c r="AK9" i="44"/>
  <c r="AI77" i="46"/>
  <c r="AJ10" i="46"/>
  <c r="AI22" i="46"/>
  <c r="AL9" i="44" l="1"/>
  <c r="AK10" i="46"/>
  <c r="AJ38" i="46"/>
  <c r="AJ77" i="46"/>
  <c r="AJ22" i="46"/>
  <c r="AK77" i="46" l="1"/>
  <c r="AL10" i="46"/>
  <c r="AK38" i="46"/>
  <c r="AK22" i="46"/>
  <c r="AD43" i="46" l="1"/>
  <c r="AF44" i="46"/>
  <c r="AG44" i="46"/>
  <c r="AF39" i="46"/>
  <c r="AH44" i="46"/>
  <c r="AD41" i="46"/>
  <c r="AF41" i="46"/>
  <c r="AD39" i="46"/>
  <c r="AE40" i="46"/>
  <c r="AI41" i="46"/>
  <c r="AL42" i="46"/>
  <c r="AL77" i="46"/>
  <c r="AM10" i="46"/>
  <c r="AN10" i="46" s="1"/>
  <c r="AO10" i="46" s="1"/>
  <c r="AL38" i="46"/>
  <c r="AL22" i="46"/>
  <c r="AL43" i="46"/>
  <c r="AL40" i="46"/>
  <c r="AO38" i="46" l="1"/>
  <c r="AO77" i="46"/>
  <c r="AO22" i="46"/>
  <c r="AC43" i="46"/>
  <c r="AG41" i="46"/>
  <c r="AG42" i="46"/>
  <c r="AC42" i="46"/>
  <c r="AG39" i="46"/>
  <c r="AJ40" i="46"/>
  <c r="AF43" i="46"/>
  <c r="AJ41" i="46"/>
  <c r="AJ42" i="46"/>
  <c r="AH39" i="46"/>
  <c r="AI39" i="46"/>
  <c r="AE43" i="46"/>
  <c r="AG40" i="46"/>
  <c r="AL41" i="46"/>
  <c r="AH40" i="46"/>
  <c r="AE44" i="46"/>
  <c r="AI40" i="46"/>
  <c r="AH42" i="46"/>
  <c r="AD42" i="46"/>
  <c r="AF42" i="46"/>
  <c r="AG43" i="46"/>
  <c r="AL44" i="46"/>
  <c r="AH41" i="46"/>
  <c r="AJ44" i="46"/>
  <c r="AJ43" i="46"/>
  <c r="AE42" i="46"/>
  <c r="E43" i="46"/>
  <c r="E39" i="46"/>
  <c r="AO41" i="46"/>
  <c r="AO44" i="46"/>
  <c r="E41" i="46"/>
  <c r="E42" i="46"/>
  <c r="AO42" i="46"/>
  <c r="AO39" i="46"/>
  <c r="E40" i="46"/>
  <c r="AO40" i="46"/>
  <c r="E44" i="46"/>
  <c r="AO43" i="46"/>
  <c r="G44" i="46"/>
  <c r="C1" i="46"/>
  <c r="G39" i="46"/>
  <c r="F41" i="46"/>
  <c r="G41" i="46"/>
  <c r="F39" i="46"/>
  <c r="G42" i="46"/>
  <c r="G43" i="46"/>
  <c r="F43" i="46"/>
  <c r="F40" i="46"/>
  <c r="H44" i="46"/>
  <c r="G40" i="46"/>
  <c r="I42" i="46"/>
  <c r="F42" i="46"/>
  <c r="F44" i="46"/>
  <c r="I41" i="46"/>
  <c r="H41" i="46"/>
  <c r="I44" i="46"/>
  <c r="I39" i="46"/>
  <c r="H39" i="46"/>
  <c r="J41" i="46"/>
  <c r="J42" i="46"/>
  <c r="I43" i="46"/>
  <c r="H40" i="46"/>
  <c r="H43" i="46"/>
  <c r="I40" i="46"/>
  <c r="H42" i="46"/>
  <c r="K43" i="46"/>
  <c r="K44" i="46"/>
  <c r="J43" i="46"/>
  <c r="K39" i="46"/>
  <c r="K40" i="46"/>
  <c r="K42" i="46"/>
  <c r="J40" i="46"/>
  <c r="N43" i="46"/>
  <c r="K41" i="46"/>
  <c r="J39" i="46"/>
  <c r="L44" i="46"/>
  <c r="N44" i="46"/>
  <c r="L40" i="46"/>
  <c r="M44" i="46"/>
  <c r="N41" i="46"/>
  <c r="J44" i="46"/>
  <c r="N39" i="46"/>
  <c r="M41" i="46"/>
  <c r="L42" i="46"/>
  <c r="L39" i="46"/>
  <c r="L41" i="46"/>
  <c r="M40" i="46"/>
  <c r="M39" i="46"/>
  <c r="Q40" i="46"/>
  <c r="M42" i="46"/>
  <c r="O43" i="46"/>
  <c r="L43" i="46"/>
  <c r="N40" i="46"/>
  <c r="P39" i="46"/>
  <c r="O39" i="46"/>
  <c r="P42" i="46"/>
  <c r="P40" i="46"/>
  <c r="O44" i="46"/>
  <c r="M43" i="46"/>
  <c r="P43" i="46"/>
  <c r="N42" i="46"/>
  <c r="O40" i="46"/>
  <c r="O41" i="46"/>
  <c r="Q43" i="46"/>
  <c r="P41" i="46"/>
  <c r="O42" i="46"/>
  <c r="R41" i="46"/>
  <c r="Q39" i="46"/>
  <c r="Q44" i="46"/>
  <c r="P44" i="46"/>
  <c r="Q41" i="46"/>
  <c r="R43" i="46"/>
  <c r="R40" i="46"/>
  <c r="T44" i="46"/>
  <c r="R44" i="46"/>
  <c r="R39" i="46"/>
  <c r="R42" i="46"/>
  <c r="Q42" i="46"/>
  <c r="T39" i="46"/>
  <c r="V40" i="46"/>
  <c r="T43" i="46"/>
  <c r="U39" i="46"/>
  <c r="V42" i="46"/>
  <c r="S40" i="46"/>
  <c r="T41" i="46"/>
  <c r="T40" i="46"/>
  <c r="S41" i="46"/>
  <c r="U40" i="46"/>
  <c r="S39" i="46"/>
  <c r="S43" i="46"/>
  <c r="V44" i="46"/>
  <c r="T42" i="46"/>
  <c r="S44" i="46"/>
  <c r="U43" i="46"/>
  <c r="V41" i="46"/>
  <c r="S42" i="46"/>
  <c r="W43" i="46"/>
  <c r="V39" i="46"/>
  <c r="U41" i="46"/>
  <c r="U44" i="46"/>
  <c r="V43" i="46"/>
  <c r="W42" i="46"/>
  <c r="X39" i="46"/>
  <c r="X43" i="46"/>
  <c r="U42" i="46"/>
  <c r="Y44" i="46"/>
  <c r="X42" i="46"/>
  <c r="X41" i="46"/>
  <c r="W41" i="46"/>
  <c r="Z41" i="46"/>
  <c r="W40" i="46"/>
  <c r="X44" i="46"/>
  <c r="Y39" i="46"/>
  <c r="Z43" i="46"/>
  <c r="W44" i="46"/>
  <c r="W39" i="46"/>
  <c r="Z39" i="46"/>
  <c r="Y42" i="46"/>
  <c r="Y41" i="46"/>
  <c r="AB40" i="46"/>
  <c r="Y40" i="46"/>
  <c r="X40" i="46"/>
  <c r="AA44" i="46"/>
  <c r="Z44" i="46"/>
  <c r="AA40" i="46"/>
  <c r="Z42" i="46"/>
  <c r="AA43" i="46"/>
  <c r="Y43" i="46"/>
  <c r="Z40" i="46"/>
  <c r="AC39" i="46"/>
  <c r="AA39" i="46"/>
  <c r="AA42" i="46"/>
  <c r="AC40" i="46"/>
  <c r="AB41" i="46"/>
  <c r="AB43" i="46"/>
  <c r="AA41" i="46"/>
  <c r="AD40" i="46"/>
  <c r="AB44" i="46"/>
  <c r="AB42" i="46"/>
  <c r="AC41" i="46"/>
  <c r="AE41" i="46"/>
  <c r="AD44" i="46"/>
  <c r="AK44" i="46"/>
  <c r="AB39" i="46"/>
  <c r="AF40" i="46"/>
  <c r="AK42" i="46"/>
  <c r="AK41" i="46"/>
  <c r="AK40" i="46"/>
  <c r="AK39" i="46"/>
  <c r="AK43" i="46"/>
  <c r="AI42" i="46"/>
  <c r="AE39" i="46"/>
  <c r="AI44" i="46"/>
  <c r="AL39" i="46"/>
  <c r="AH43" i="46"/>
  <c r="AI43" i="46"/>
  <c r="AC44" i="46"/>
  <c r="AJ39" i="46"/>
  <c r="AK11" i="46"/>
  <c r="AE15" i="46"/>
  <c r="AE27" i="46" s="1"/>
  <c r="AN77" i="46"/>
  <c r="AN40" i="46"/>
  <c r="AN44" i="46"/>
  <c r="AN43" i="46"/>
  <c r="AN22" i="46"/>
  <c r="AN42" i="46"/>
  <c r="AN38" i="46"/>
  <c r="AN41" i="46"/>
  <c r="AN39" i="46"/>
  <c r="AN16" i="46"/>
  <c r="AN28" i="46" s="1"/>
  <c r="AL82" i="46"/>
  <c r="AL79" i="46"/>
  <c r="AL85" i="46"/>
  <c r="AM42" i="46"/>
  <c r="AM43" i="46"/>
  <c r="AM77" i="46"/>
  <c r="AM39" i="46"/>
  <c r="AM22" i="46"/>
  <c r="AM44" i="46"/>
  <c r="AM38" i="46"/>
  <c r="AM41" i="46"/>
  <c r="AM40" i="46"/>
  <c r="AM16" i="46"/>
  <c r="AM28" i="46" s="1"/>
  <c r="AM13" i="46"/>
  <c r="AM25" i="46" s="1"/>
  <c r="AM15" i="46"/>
  <c r="AM27" i="46" s="1"/>
  <c r="AX10" i="46"/>
  <c r="AF45" i="46" l="1"/>
  <c r="AF80" i="46" s="1"/>
  <c r="AL45" i="46"/>
  <c r="P56" i="46"/>
  <c r="N45" i="46"/>
  <c r="N80" i="46" s="1"/>
  <c r="AO45" i="46"/>
  <c r="AO80" i="46" s="1"/>
  <c r="AJ45" i="46"/>
  <c r="AJ80" i="46" s="1"/>
  <c r="P60" i="46"/>
  <c r="R45" i="46"/>
  <c r="R80" i="46" s="1"/>
  <c r="AO15" i="46"/>
  <c r="AO27" i="46" s="1"/>
  <c r="AO14" i="46"/>
  <c r="AO26" i="46" s="1"/>
  <c r="AO12" i="46"/>
  <c r="AO24" i="46" s="1"/>
  <c r="AO13" i="46"/>
  <c r="AO25" i="46" s="1"/>
  <c r="AO16" i="46"/>
  <c r="AO28" i="46" s="1"/>
  <c r="AO11" i="46"/>
  <c r="F13" i="46"/>
  <c r="F12" i="46"/>
  <c r="F11" i="46"/>
  <c r="F15" i="46"/>
  <c r="H14" i="46"/>
  <c r="F16" i="46"/>
  <c r="H15" i="46"/>
  <c r="G13" i="46"/>
  <c r="E11" i="46"/>
  <c r="E14" i="46"/>
  <c r="E13" i="46"/>
  <c r="E12" i="46"/>
  <c r="G14" i="46"/>
  <c r="E16" i="46"/>
  <c r="H11" i="46"/>
  <c r="G16" i="46"/>
  <c r="E15" i="46"/>
  <c r="G11" i="46"/>
  <c r="I12" i="46"/>
  <c r="F14" i="46"/>
  <c r="H12" i="46"/>
  <c r="H13" i="46"/>
  <c r="I11" i="46"/>
  <c r="I16" i="46"/>
  <c r="H16" i="46"/>
  <c r="K13" i="46"/>
  <c r="G12" i="46"/>
  <c r="I13" i="46"/>
  <c r="K14" i="46"/>
  <c r="K11" i="46"/>
  <c r="L13" i="46"/>
  <c r="L25" i="46" s="1"/>
  <c r="G15" i="46"/>
  <c r="K16" i="46"/>
  <c r="J13" i="46"/>
  <c r="N13" i="46"/>
  <c r="N25" i="46" s="1"/>
  <c r="I15" i="46"/>
  <c r="L11" i="46"/>
  <c r="L23" i="46" s="1"/>
  <c r="M11" i="46"/>
  <c r="M23" i="46" s="1"/>
  <c r="M12" i="46"/>
  <c r="M24" i="46" s="1"/>
  <c r="K12" i="46"/>
  <c r="M14" i="46"/>
  <c r="M26" i="46" s="1"/>
  <c r="J12" i="46"/>
  <c r="J15" i="46"/>
  <c r="J14" i="46"/>
  <c r="J16" i="46"/>
  <c r="N12" i="46"/>
  <c r="N24" i="46" s="1"/>
  <c r="J11" i="46"/>
  <c r="O15" i="46"/>
  <c r="O27" i="46" s="1"/>
  <c r="M15" i="46"/>
  <c r="M27" i="46" s="1"/>
  <c r="L16" i="46"/>
  <c r="L28" i="46" s="1"/>
  <c r="I14" i="46"/>
  <c r="L15" i="46"/>
  <c r="L27" i="46" s="1"/>
  <c r="N11" i="46"/>
  <c r="N23" i="46" s="1"/>
  <c r="N14" i="46"/>
  <c r="N26" i="46" s="1"/>
  <c r="M13" i="46"/>
  <c r="M25" i="46" s="1"/>
  <c r="K15" i="46"/>
  <c r="M16" i="46"/>
  <c r="M28" i="46" s="1"/>
  <c r="L14" i="46"/>
  <c r="L26" i="46" s="1"/>
  <c r="O13" i="46"/>
  <c r="O25" i="46" s="1"/>
  <c r="N16" i="46"/>
  <c r="N28" i="46" s="1"/>
  <c r="L12" i="46"/>
  <c r="L24" i="46" s="1"/>
  <c r="N15" i="46"/>
  <c r="N27" i="46" s="1"/>
  <c r="O12" i="46"/>
  <c r="O24" i="46" s="1"/>
  <c r="R15" i="46"/>
  <c r="R27" i="46" s="1"/>
  <c r="P16" i="46"/>
  <c r="P28" i="46" s="1"/>
  <c r="P13" i="46"/>
  <c r="P25" i="46" s="1"/>
  <c r="O16" i="46"/>
  <c r="O28" i="46" s="1"/>
  <c r="O14" i="46"/>
  <c r="O26" i="46" s="1"/>
  <c r="P14" i="46"/>
  <c r="P26" i="46" s="1"/>
  <c r="P12" i="46"/>
  <c r="P24" i="46" s="1"/>
  <c r="S14" i="46"/>
  <c r="S26" i="46" s="1"/>
  <c r="R11" i="46"/>
  <c r="R23" i="46" s="1"/>
  <c r="O11" i="46"/>
  <c r="O23" i="46" s="1"/>
  <c r="Q12" i="46"/>
  <c r="Q24" i="46" s="1"/>
  <c r="P11" i="46"/>
  <c r="P23" i="46" s="1"/>
  <c r="Q11" i="46"/>
  <c r="Q23" i="46" s="1"/>
  <c r="P15" i="46"/>
  <c r="P27" i="46" s="1"/>
  <c r="Q16" i="46"/>
  <c r="Q28" i="46" s="1"/>
  <c r="Q14" i="46"/>
  <c r="Q26" i="46" s="1"/>
  <c r="S12" i="46"/>
  <c r="S24" i="46" s="1"/>
  <c r="R13" i="46"/>
  <c r="R25" i="46" s="1"/>
  <c r="S15" i="46"/>
  <c r="S27" i="46" s="1"/>
  <c r="Q15" i="46"/>
  <c r="Q27" i="46" s="1"/>
  <c r="R12" i="46"/>
  <c r="R24" i="46" s="1"/>
  <c r="Q13" i="46"/>
  <c r="Q25" i="46" s="1"/>
  <c r="T14" i="46"/>
  <c r="T26" i="46" s="1"/>
  <c r="R14" i="46"/>
  <c r="R26" i="46" s="1"/>
  <c r="T15" i="46"/>
  <c r="T27" i="46" s="1"/>
  <c r="T16" i="46"/>
  <c r="T28" i="46" s="1"/>
  <c r="V12" i="46"/>
  <c r="V24" i="46" s="1"/>
  <c r="R16" i="46"/>
  <c r="R28" i="46" s="1"/>
  <c r="T12" i="46"/>
  <c r="T24" i="46" s="1"/>
  <c r="S13" i="46"/>
  <c r="S25" i="46" s="1"/>
  <c r="S11" i="46"/>
  <c r="S23" i="46" s="1"/>
  <c r="V14" i="46"/>
  <c r="V26" i="46" s="1"/>
  <c r="S16" i="46"/>
  <c r="S28" i="46" s="1"/>
  <c r="T11" i="46"/>
  <c r="T23" i="46" s="1"/>
  <c r="V15" i="46"/>
  <c r="V27" i="46" s="1"/>
  <c r="T13" i="46"/>
  <c r="T25" i="46" s="1"/>
  <c r="U13" i="46"/>
  <c r="U25" i="46" s="1"/>
  <c r="Y11" i="46"/>
  <c r="Y23" i="46" s="1"/>
  <c r="W16" i="46"/>
  <c r="W28" i="46" s="1"/>
  <c r="V16" i="46"/>
  <c r="V28" i="46" s="1"/>
  <c r="U15" i="46"/>
  <c r="U27" i="46" s="1"/>
  <c r="U11" i="46"/>
  <c r="U23" i="46" s="1"/>
  <c r="U14" i="46"/>
  <c r="U26" i="46" s="1"/>
  <c r="U12" i="46"/>
  <c r="U24" i="46" s="1"/>
  <c r="U16" i="46"/>
  <c r="U28" i="46" s="1"/>
  <c r="W13" i="46"/>
  <c r="W25" i="46" s="1"/>
  <c r="W14" i="46"/>
  <c r="W26" i="46" s="1"/>
  <c r="W12" i="46"/>
  <c r="W24" i="46" s="1"/>
  <c r="Z15" i="46"/>
  <c r="Z27" i="46" s="1"/>
  <c r="W15" i="46"/>
  <c r="W27" i="46" s="1"/>
  <c r="V11" i="46"/>
  <c r="V23" i="46" s="1"/>
  <c r="X11" i="46"/>
  <c r="X23" i="46" s="1"/>
  <c r="Y16" i="46"/>
  <c r="Y28" i="46" s="1"/>
  <c r="V13" i="46"/>
  <c r="V25" i="46" s="1"/>
  <c r="W11" i="46"/>
  <c r="W23" i="46" s="1"/>
  <c r="X13" i="46"/>
  <c r="X25" i="46" s="1"/>
  <c r="X14" i="46"/>
  <c r="X26" i="46" s="1"/>
  <c r="X16" i="46"/>
  <c r="X28" i="46" s="1"/>
  <c r="Y13" i="46"/>
  <c r="Y25" i="46" s="1"/>
  <c r="Y15" i="46"/>
  <c r="Y27" i="46" s="1"/>
  <c r="X12" i="46"/>
  <c r="X24" i="46" s="1"/>
  <c r="X15" i="46"/>
  <c r="X27" i="46" s="1"/>
  <c r="Y12" i="46"/>
  <c r="Y24" i="46" s="1"/>
  <c r="Z14" i="46"/>
  <c r="Z26" i="46" s="1"/>
  <c r="Z16" i="46"/>
  <c r="Z28" i="46" s="1"/>
  <c r="Y14" i="46"/>
  <c r="Y26" i="46" s="1"/>
  <c r="Z13" i="46"/>
  <c r="Z25" i="46" s="1"/>
  <c r="Z11" i="46"/>
  <c r="Z23" i="46" s="1"/>
  <c r="AA14" i="46"/>
  <c r="AA26" i="46" s="1"/>
  <c r="AA12" i="46"/>
  <c r="AA24" i="46" s="1"/>
  <c r="AA16" i="46"/>
  <c r="AA28" i="46" s="1"/>
  <c r="AA13" i="46"/>
  <c r="AA25" i="46" s="1"/>
  <c r="Z12" i="46"/>
  <c r="Z24" i="46" s="1"/>
  <c r="AC11" i="46"/>
  <c r="AB11" i="46"/>
  <c r="AB23" i="46" s="1"/>
  <c r="AD13" i="46"/>
  <c r="AD25" i="46" s="1"/>
  <c r="AD14" i="46"/>
  <c r="AD26" i="46" s="1"/>
  <c r="AB15" i="46"/>
  <c r="AB27" i="46" s="1"/>
  <c r="AA15" i="46"/>
  <c r="AA27" i="46" s="1"/>
  <c r="AB14" i="46"/>
  <c r="AB26" i="46" s="1"/>
  <c r="AB13" i="46"/>
  <c r="AB25" i="46" s="1"/>
  <c r="AB16" i="46"/>
  <c r="AB28" i="46" s="1"/>
  <c r="AA11" i="46"/>
  <c r="AA23" i="46" s="1"/>
  <c r="AB12" i="46"/>
  <c r="AB24" i="46" s="1"/>
  <c r="AC13" i="46"/>
  <c r="AC25" i="46" s="1"/>
  <c r="AD11" i="46"/>
  <c r="AC14" i="46"/>
  <c r="AC26" i="46" s="1"/>
  <c r="AC15" i="46"/>
  <c r="AC27" i="46" s="1"/>
  <c r="AD16" i="46"/>
  <c r="AD28" i="46" s="1"/>
  <c r="AC12" i="46"/>
  <c r="AC24" i="46" s="1"/>
  <c r="AD15" i="46"/>
  <c r="AD27" i="46" s="1"/>
  <c r="AC16" i="46"/>
  <c r="AC28" i="46" s="1"/>
  <c r="AF16" i="46"/>
  <c r="AF28" i="46" s="1"/>
  <c r="AH11" i="46"/>
  <c r="AI11" i="46"/>
  <c r="AL16" i="46"/>
  <c r="AL28" i="46" s="1"/>
  <c r="AL11" i="46"/>
  <c r="AF13" i="46"/>
  <c r="AF25" i="46" s="1"/>
  <c r="AF15" i="46"/>
  <c r="AF27" i="46" s="1"/>
  <c r="AE13" i="46"/>
  <c r="AE25" i="46" s="1"/>
  <c r="AI12" i="46"/>
  <c r="AI24" i="46" s="1"/>
  <c r="AL13" i="46"/>
  <c r="AL25" i="46" s="1"/>
  <c r="AL14" i="46"/>
  <c r="AL26" i="46" s="1"/>
  <c r="AK16" i="46"/>
  <c r="AK28" i="46" s="1"/>
  <c r="AI13" i="46"/>
  <c r="AI25" i="46" s="1"/>
  <c r="AE12" i="46"/>
  <c r="AE24" i="46" s="1"/>
  <c r="AG14" i="46"/>
  <c r="AG26" i="46" s="1"/>
  <c r="AJ11" i="46"/>
  <c r="AJ16" i="46"/>
  <c r="AJ28" i="46" s="1"/>
  <c r="AE11" i="46"/>
  <c r="AL15" i="46"/>
  <c r="AL27" i="46" s="1"/>
  <c r="AI16" i="46"/>
  <c r="AI28" i="46" s="1"/>
  <c r="AK13" i="46"/>
  <c r="AK25" i="46" s="1"/>
  <c r="AL12" i="46"/>
  <c r="AL24" i="46" s="1"/>
  <c r="AK15" i="46"/>
  <c r="AK27" i="46" s="1"/>
  <c r="AH15" i="46"/>
  <c r="AH27" i="46" s="1"/>
  <c r="AJ12" i="46"/>
  <c r="AJ24" i="46" s="1"/>
  <c r="AG13" i="46"/>
  <c r="AG25" i="46" s="1"/>
  <c r="AI45" i="46"/>
  <c r="AI80" i="46" s="1"/>
  <c r="AM12" i="46"/>
  <c r="AM24" i="46" s="1"/>
  <c r="AN14" i="46"/>
  <c r="AN26" i="46" s="1"/>
  <c r="AE14" i="46"/>
  <c r="AE26" i="46" s="1"/>
  <c r="AK45" i="46"/>
  <c r="Z45" i="46"/>
  <c r="Z80" i="46" s="1"/>
  <c r="L45" i="46"/>
  <c r="L80" i="46" s="1"/>
  <c r="K45" i="46"/>
  <c r="AH45" i="46"/>
  <c r="AH80" i="46" s="1"/>
  <c r="AG45" i="46"/>
  <c r="AG80" i="46" s="1"/>
  <c r="P45" i="46"/>
  <c r="P80" i="46" s="1"/>
  <c r="W45" i="46"/>
  <c r="W80" i="46" s="1"/>
  <c r="Q45" i="46"/>
  <c r="Q80" i="46" s="1"/>
  <c r="F45" i="46"/>
  <c r="AG15" i="46"/>
  <c r="AG27" i="46" s="1"/>
  <c r="AH12" i="46"/>
  <c r="AH24" i="46" s="1"/>
  <c r="AA45" i="46"/>
  <c r="P55" i="46"/>
  <c r="J45" i="46"/>
  <c r="AF11" i="46"/>
  <c r="AM14" i="46"/>
  <c r="AM26" i="46" s="1"/>
  <c r="AC45" i="46"/>
  <c r="AC80" i="46" s="1"/>
  <c r="V45" i="46"/>
  <c r="V80" i="46" s="1"/>
  <c r="U45" i="46"/>
  <c r="U80" i="46" s="1"/>
  <c r="H45" i="46"/>
  <c r="P58" i="46"/>
  <c r="AK23" i="46"/>
  <c r="AG12" i="46"/>
  <c r="AG24" i="46" s="1"/>
  <c r="AJ14" i="46"/>
  <c r="AJ26" i="46" s="1"/>
  <c r="AN11" i="46"/>
  <c r="AN23" i="46" s="1"/>
  <c r="AE16" i="46"/>
  <c r="AE28" i="46" s="1"/>
  <c r="AI15" i="46"/>
  <c r="AI27" i="46" s="1"/>
  <c r="Y45" i="46"/>
  <c r="Y80" i="46" s="1"/>
  <c r="S45" i="46"/>
  <c r="S80" i="46" s="1"/>
  <c r="I45" i="46"/>
  <c r="G45" i="46"/>
  <c r="AH13" i="46"/>
  <c r="AH25" i="46" s="1"/>
  <c r="AF12" i="46"/>
  <c r="AF24" i="46" s="1"/>
  <c r="AJ13" i="46"/>
  <c r="AJ25" i="46" s="1"/>
  <c r="AD12" i="46"/>
  <c r="AD24" i="46" s="1"/>
  <c r="G98" i="46" a="1"/>
  <c r="G98" i="46" s="1"/>
  <c r="G107" i="46" s="1"/>
  <c r="G23" i="50" s="1"/>
  <c r="AN15" i="46"/>
  <c r="AN27" i="46" s="1"/>
  <c r="AM11" i="46"/>
  <c r="AN12" i="46"/>
  <c r="AN24" i="46" s="1"/>
  <c r="AG11" i="46"/>
  <c r="AG16" i="46"/>
  <c r="AG28" i="46" s="1"/>
  <c r="AE45" i="46"/>
  <c r="AE80" i="46" s="1"/>
  <c r="AB45" i="46"/>
  <c r="AB80" i="46" s="1"/>
  <c r="P57" i="46"/>
  <c r="M45" i="46"/>
  <c r="M80" i="46" s="1"/>
  <c r="AO82" i="46"/>
  <c r="AO79" i="46"/>
  <c r="AO85" i="46"/>
  <c r="G4" i="50"/>
  <c r="G22" i="50" s="1"/>
  <c r="D8" i="50"/>
  <c r="E8" i="50" s="1"/>
  <c r="D70" i="46"/>
  <c r="I4" i="50"/>
  <c r="I22" i="50" s="1"/>
  <c r="D98" i="46"/>
  <c r="D16" i="50"/>
  <c r="E16" i="50" s="1"/>
  <c r="D6" i="50"/>
  <c r="D76" i="46"/>
  <c r="D77" i="46"/>
  <c r="N3" i="48" s="1"/>
  <c r="N4" i="48" s="1"/>
  <c r="D68" i="46"/>
  <c r="C3" i="46"/>
  <c r="D4" i="50"/>
  <c r="D22" i="50" s="1"/>
  <c r="D66" i="46"/>
  <c r="I97" i="46"/>
  <c r="D72" i="46"/>
  <c r="M3" i="48"/>
  <c r="D14" i="50"/>
  <c r="E14" i="50" s="1"/>
  <c r="M4" i="48"/>
  <c r="G97" i="46"/>
  <c r="D10" i="50"/>
  <c r="E10" i="50" s="1"/>
  <c r="D69" i="46"/>
  <c r="D12" i="50"/>
  <c r="E12" i="50" s="1"/>
  <c r="M4" i="50"/>
  <c r="D67" i="46"/>
  <c r="D71" i="46"/>
  <c r="C3" i="50"/>
  <c r="D52" i="46"/>
  <c r="F54" i="46" s="1"/>
  <c r="F55" i="46" s="1"/>
  <c r="L85" i="46"/>
  <c r="L79" i="46"/>
  <c r="N79" i="46"/>
  <c r="O79" i="46"/>
  <c r="M85" i="46"/>
  <c r="N85" i="46"/>
  <c r="M79" i="46"/>
  <c r="P79" i="46"/>
  <c r="O85" i="46"/>
  <c r="Q79" i="46"/>
  <c r="P85" i="46"/>
  <c r="R79" i="46"/>
  <c r="Q85" i="46"/>
  <c r="S79" i="46"/>
  <c r="R85" i="46"/>
  <c r="S85" i="46"/>
  <c r="T79" i="46"/>
  <c r="T85" i="46"/>
  <c r="U79" i="46"/>
  <c r="V79" i="46"/>
  <c r="U85" i="46"/>
  <c r="V85" i="46"/>
  <c r="W79" i="46"/>
  <c r="W85" i="46"/>
  <c r="X79" i="46"/>
  <c r="X85" i="46"/>
  <c r="Y79" i="46"/>
  <c r="Z79" i="46"/>
  <c r="Y85" i="46"/>
  <c r="AA79" i="46"/>
  <c r="Z85" i="46"/>
  <c r="AA85" i="46"/>
  <c r="R82" i="46"/>
  <c r="Z82" i="46"/>
  <c r="AA82" i="46"/>
  <c r="AB85" i="46"/>
  <c r="S82" i="46"/>
  <c r="L82" i="46"/>
  <c r="T82" i="46"/>
  <c r="AB82" i="46"/>
  <c r="U82" i="46"/>
  <c r="Q82" i="46"/>
  <c r="M82" i="46"/>
  <c r="Y82" i="46"/>
  <c r="N82" i="46"/>
  <c r="V82" i="46"/>
  <c r="X82" i="46"/>
  <c r="O82" i="46"/>
  <c r="W82" i="46"/>
  <c r="P82" i="46"/>
  <c r="AD79" i="46"/>
  <c r="AC85" i="46"/>
  <c r="AE79" i="46"/>
  <c r="AD85" i="46"/>
  <c r="AC79" i="46"/>
  <c r="AE85" i="46"/>
  <c r="AF85" i="46"/>
  <c r="AF79" i="46"/>
  <c r="AG85" i="46"/>
  <c r="AH85" i="46"/>
  <c r="AG79" i="46"/>
  <c r="AI85" i="46"/>
  <c r="AH79" i="46"/>
  <c r="AI79" i="46"/>
  <c r="AJ85" i="46"/>
  <c r="AJ79" i="46"/>
  <c r="AK82" i="46"/>
  <c r="AK79" i="46"/>
  <c r="AK85" i="46"/>
  <c r="E45" i="46"/>
  <c r="AH16" i="46"/>
  <c r="AH28" i="46" s="1"/>
  <c r="AJ15" i="46"/>
  <c r="AJ27" i="46" s="1"/>
  <c r="AD45" i="46"/>
  <c r="AD80" i="46" s="1"/>
  <c r="AN13" i="46"/>
  <c r="AN25" i="46" s="1"/>
  <c r="AF14" i="46"/>
  <c r="AF26" i="46" s="1"/>
  <c r="AK12" i="46"/>
  <c r="AK24" i="46" s="1"/>
  <c r="P59" i="46"/>
  <c r="X45" i="46"/>
  <c r="X80" i="46" s="1"/>
  <c r="T45" i="46"/>
  <c r="T80" i="46" s="1"/>
  <c r="O45" i="46"/>
  <c r="O80" i="46" s="1"/>
  <c r="AI14" i="46"/>
  <c r="AI26" i="46" s="1"/>
  <c r="AH14" i="46"/>
  <c r="AH26" i="46" s="1"/>
  <c r="AK14" i="46"/>
  <c r="AK26" i="46" s="1"/>
  <c r="AN45" i="46"/>
  <c r="AN80" i="46" s="1"/>
  <c r="AN85" i="46"/>
  <c r="AN82" i="46"/>
  <c r="AN79" i="46"/>
  <c r="AM45" i="46"/>
  <c r="AM85" i="46"/>
  <c r="AM82" i="46"/>
  <c r="AM79" i="46"/>
  <c r="AL80" i="46"/>
  <c r="AY10" i="46"/>
  <c r="AX22" i="46"/>
  <c r="I98" i="46" l="1"/>
  <c r="B100" i="46" s="1"/>
  <c r="AM17" i="46"/>
  <c r="AM29" i="46" s="1"/>
  <c r="AE17" i="46"/>
  <c r="AE23" i="46"/>
  <c r="AH23" i="46"/>
  <c r="AH17" i="46"/>
  <c r="AD17" i="46"/>
  <c r="AD23" i="46"/>
  <c r="C34" i="50"/>
  <c r="D65" i="46"/>
  <c r="F60" i="46"/>
  <c r="AF23" i="46"/>
  <c r="AF17" i="46"/>
  <c r="AK17" i="46"/>
  <c r="F61" i="46"/>
  <c r="AK80" i="46"/>
  <c r="AJ17" i="46"/>
  <c r="AJ23" i="46"/>
  <c r="AO23" i="46"/>
  <c r="AO17" i="46"/>
  <c r="E6" i="50"/>
  <c r="D18" i="50"/>
  <c r="E18" i="50" s="1"/>
  <c r="G54" i="46"/>
  <c r="F56" i="46"/>
  <c r="AA80" i="46"/>
  <c r="P61" i="46"/>
  <c r="F59" i="46"/>
  <c r="AC23" i="46"/>
  <c r="AC17" i="46"/>
  <c r="AN17" i="46"/>
  <c r="AN29" i="46" s="1"/>
  <c r="AN78" i="46" s="1"/>
  <c r="E98" i="46"/>
  <c r="D107" i="46"/>
  <c r="I107" i="46" s="1"/>
  <c r="I23" i="50" s="1"/>
  <c r="AG17" i="46"/>
  <c r="AG23" i="46"/>
  <c r="F58" i="46"/>
  <c r="F57" i="46"/>
  <c r="AL23" i="46"/>
  <c r="AL17" i="46"/>
  <c r="AI17" i="46"/>
  <c r="AI23" i="46"/>
  <c r="AM23" i="46"/>
  <c r="AM78" i="46" s="1"/>
  <c r="AM80" i="46"/>
  <c r="AM86" i="46"/>
  <c r="AZ10" i="46"/>
  <c r="AY22" i="46"/>
  <c r="B102" i="46" l="1"/>
  <c r="B98" i="46"/>
  <c r="B103" i="46"/>
  <c r="AP81" i="46"/>
  <c r="AT81" i="46"/>
  <c r="AS81" i="46"/>
  <c r="AR81" i="46"/>
  <c r="AQ81" i="46"/>
  <c r="AO81" i="46"/>
  <c r="B104" i="46"/>
  <c r="B101" i="46"/>
  <c r="B99" i="46"/>
  <c r="C112" i="46" s="1"/>
  <c r="C28" i="50" s="1"/>
  <c r="B28" i="50" s="1"/>
  <c r="AL29" i="46"/>
  <c r="AL78" i="46" s="1"/>
  <c r="AL86" i="46"/>
  <c r="AC29" i="46"/>
  <c r="AC78" i="46" s="1"/>
  <c r="AC86" i="46"/>
  <c r="AI29" i="46"/>
  <c r="AI78" i="46" s="1"/>
  <c r="AI86" i="46"/>
  <c r="H54" i="46"/>
  <c r="G59" i="46"/>
  <c r="G58" i="46"/>
  <c r="G57" i="46"/>
  <c r="G60" i="46"/>
  <c r="G56" i="46"/>
  <c r="G55" i="46"/>
  <c r="G61" i="46"/>
  <c r="AN86" i="46"/>
  <c r="AO29" i="46"/>
  <c r="AO78" i="46" s="1"/>
  <c r="AO86" i="46"/>
  <c r="AF29" i="46"/>
  <c r="AF78" i="46" s="1"/>
  <c r="AF86" i="46"/>
  <c r="AD29" i="46"/>
  <c r="AD78" i="46" s="1"/>
  <c r="AD86" i="46"/>
  <c r="AH29" i="46"/>
  <c r="AH78" i="46" s="1"/>
  <c r="AH86" i="46"/>
  <c r="AK29" i="46"/>
  <c r="AK78" i="46" s="1"/>
  <c r="AK86" i="46"/>
  <c r="AG29" i="46"/>
  <c r="AG78" i="46" s="1"/>
  <c r="AG86" i="46"/>
  <c r="AJ29" i="46"/>
  <c r="AJ78" i="46" s="1"/>
  <c r="AJ86" i="46"/>
  <c r="E107" i="46"/>
  <c r="E23" i="50" s="1"/>
  <c r="D23" i="50"/>
  <c r="AE29" i="46"/>
  <c r="AE78" i="46" s="1"/>
  <c r="AE86" i="46"/>
  <c r="E108" i="46"/>
  <c r="E24" i="50" s="1"/>
  <c r="D108" i="46"/>
  <c r="D24" i="50" s="1"/>
  <c r="C108" i="46"/>
  <c r="C24" i="50" s="1"/>
  <c r="B24" i="50" s="1"/>
  <c r="G108" i="46"/>
  <c r="G24" i="50" s="1"/>
  <c r="T81" i="46"/>
  <c r="R81" i="46"/>
  <c r="H59" i="46"/>
  <c r="H57" i="46"/>
  <c r="H55" i="46"/>
  <c r="H58" i="46"/>
  <c r="H56" i="46"/>
  <c r="S81" i="46"/>
  <c r="BA10" i="46"/>
  <c r="AZ22" i="46"/>
  <c r="G110" i="46" l="1"/>
  <c r="G26" i="50" s="1"/>
  <c r="D114" i="46"/>
  <c r="D30" i="50" s="1"/>
  <c r="I110" i="46"/>
  <c r="I26" i="50" s="1"/>
  <c r="G114" i="46"/>
  <c r="G30" i="50" s="1"/>
  <c r="I112" i="46"/>
  <c r="I28" i="50" s="1"/>
  <c r="G111" i="46"/>
  <c r="G27" i="50" s="1"/>
  <c r="C110" i="46"/>
  <c r="C26" i="50" s="1"/>
  <c r="B26" i="50" s="1"/>
  <c r="I113" i="46"/>
  <c r="I29" i="50" s="1"/>
  <c r="I111" i="46"/>
  <c r="I27" i="50" s="1"/>
  <c r="E110" i="46"/>
  <c r="E26" i="50" s="1"/>
  <c r="E109" i="46"/>
  <c r="E25" i="50" s="1"/>
  <c r="I114" i="46"/>
  <c r="I30" i="50" s="1"/>
  <c r="C114" i="46"/>
  <c r="C30" i="50" s="1"/>
  <c r="B30" i="50" s="1"/>
  <c r="D111" i="46"/>
  <c r="D27" i="50" s="1"/>
  <c r="C109" i="46"/>
  <c r="C25" i="50" s="1"/>
  <c r="B25" i="50" s="1"/>
  <c r="E114" i="46"/>
  <c r="E30" i="50" s="1"/>
  <c r="I108" i="46"/>
  <c r="I24" i="50" s="1"/>
  <c r="D109" i="46"/>
  <c r="D25" i="50" s="1"/>
  <c r="E111" i="46"/>
  <c r="E27" i="50" s="1"/>
  <c r="G113" i="46"/>
  <c r="G29" i="50" s="1"/>
  <c r="C113" i="46"/>
  <c r="C29" i="50" s="1"/>
  <c r="B29" i="50" s="1"/>
  <c r="C111" i="46"/>
  <c r="C27" i="50" s="1"/>
  <c r="B27" i="50" s="1"/>
  <c r="G112" i="46"/>
  <c r="G28" i="50" s="1"/>
  <c r="D113" i="46"/>
  <c r="D29" i="50" s="1"/>
  <c r="D110" i="46"/>
  <c r="D26" i="50" s="1"/>
  <c r="E112" i="46"/>
  <c r="E28" i="50" s="1"/>
  <c r="D112" i="46"/>
  <c r="D28" i="50" s="1"/>
  <c r="G109" i="46"/>
  <c r="G25" i="50" s="1"/>
  <c r="E113" i="46"/>
  <c r="E29" i="50" s="1"/>
  <c r="I109" i="46"/>
  <c r="I25" i="50" s="1"/>
  <c r="I54" i="46"/>
  <c r="H60" i="46"/>
  <c r="H61" i="46"/>
  <c r="AF81" i="46"/>
  <c r="AG81" i="46"/>
  <c r="AH81" i="46"/>
  <c r="M81" i="46"/>
  <c r="Y81" i="46"/>
  <c r="V81" i="46"/>
  <c r="AI81" i="46"/>
  <c r="AD81" i="46"/>
  <c r="AA81" i="46"/>
  <c r="AE81" i="46"/>
  <c r="AB81" i="46"/>
  <c r="X81" i="46"/>
  <c r="U81" i="46"/>
  <c r="AN81" i="46"/>
  <c r="AC81" i="46"/>
  <c r="AJ81" i="46"/>
  <c r="AL81" i="46"/>
  <c r="N81" i="46"/>
  <c r="AK81" i="46"/>
  <c r="Z81" i="46"/>
  <c r="O81" i="46"/>
  <c r="Q81" i="46"/>
  <c r="AM81" i="46"/>
  <c r="P81" i="46"/>
  <c r="L81" i="46"/>
  <c r="W81" i="46"/>
  <c r="BB10" i="46"/>
  <c r="BA22" i="46"/>
  <c r="J54" i="46" l="1"/>
  <c r="I57" i="46"/>
  <c r="I61" i="46"/>
  <c r="I60" i="46"/>
  <c r="I58" i="46"/>
  <c r="I55" i="46"/>
  <c r="I56" i="46"/>
  <c r="I59" i="46"/>
  <c r="BC10" i="46"/>
  <c r="BB22" i="46"/>
  <c r="K54" i="46" l="1"/>
  <c r="J59" i="46"/>
  <c r="J58" i="46"/>
  <c r="J55" i="46"/>
  <c r="J60" i="46"/>
  <c r="J56" i="46"/>
  <c r="J57" i="46"/>
  <c r="J61" i="46"/>
  <c r="BD10" i="46"/>
  <c r="BC22" i="46"/>
  <c r="L54" i="46" l="1"/>
  <c r="K56" i="46"/>
  <c r="K57" i="46"/>
  <c r="K58" i="46"/>
  <c r="K59" i="46"/>
  <c r="K55" i="46"/>
  <c r="K60" i="46"/>
  <c r="K61" i="46"/>
  <c r="AB83" i="46" a="1"/>
  <c r="AB83" i="46" s="1"/>
  <c r="Z83" i="46" a="1"/>
  <c r="Z83" i="46" s="1"/>
  <c r="U83" i="46" a="1"/>
  <c r="U83" i="46" s="1"/>
  <c r="X83" i="46" a="1"/>
  <c r="X83" i="46" s="1"/>
  <c r="AE83" i="46" a="1"/>
  <c r="AE83" i="46" s="1"/>
  <c r="V83" i="46" a="1"/>
  <c r="V83" i="46" s="1"/>
  <c r="L83" i="46" a="1"/>
  <c r="L83" i="46" s="1"/>
  <c r="L84" i="46" s="1"/>
  <c r="AD83" i="46" a="1"/>
  <c r="AD83" i="46" s="1"/>
  <c r="Q83" i="46" a="1"/>
  <c r="Q83" i="46" s="1"/>
  <c r="AC83" i="46" a="1"/>
  <c r="AC83" i="46" s="1"/>
  <c r="AC84" i="46" s="1"/>
  <c r="P83" i="46" a="1"/>
  <c r="P83" i="46" s="1"/>
  <c r="Y83" i="46" a="1"/>
  <c r="Y83" i="46" s="1"/>
  <c r="Y84" i="46" s="1"/>
  <c r="AF83" i="46" a="1"/>
  <c r="AF83" i="46" s="1"/>
  <c r="AF84" i="46" s="1"/>
  <c r="N83" i="46" a="1"/>
  <c r="N83" i="46" s="1"/>
  <c r="O83" i="46" a="1"/>
  <c r="O83" i="46" s="1"/>
  <c r="S83" i="46" a="1"/>
  <c r="S83" i="46" s="1"/>
  <c r="AG83" i="46" a="1"/>
  <c r="AG83" i="46" s="1"/>
  <c r="W83" i="46" a="1"/>
  <c r="W83" i="46" s="1"/>
  <c r="AJ83" i="46" a="1"/>
  <c r="AJ83" i="46" s="1"/>
  <c r="AL83" i="46" a="1"/>
  <c r="AL83" i="46" s="1"/>
  <c r="AM83" i="46" a="1"/>
  <c r="AM83" i="46" s="1"/>
  <c r="AK83" i="46" a="1"/>
  <c r="AK83" i="46" s="1"/>
  <c r="T83" i="46" a="1"/>
  <c r="T83" i="46" s="1"/>
  <c r="AA83" i="46" a="1"/>
  <c r="AA83" i="46" s="1"/>
  <c r="AA84" i="46" s="1"/>
  <c r="AI83" i="46" a="1"/>
  <c r="AI83" i="46" s="1"/>
  <c r="BE10" i="46"/>
  <c r="BD22" i="46"/>
  <c r="AK84" i="46" l="1"/>
  <c r="V84" i="46"/>
  <c r="AG84" i="46"/>
  <c r="AM84" i="46"/>
  <c r="O84" i="46"/>
  <c r="AL84" i="46"/>
  <c r="X84" i="46"/>
  <c r="AE84" i="46"/>
  <c r="AD84" i="46"/>
  <c r="AJ84" i="46"/>
  <c r="P84" i="46"/>
  <c r="U84" i="46"/>
  <c r="W84" i="46"/>
  <c r="Z84" i="46"/>
  <c r="T84" i="46"/>
  <c r="Q84" i="46"/>
  <c r="AB84" i="46"/>
  <c r="M83" i="46" a="1"/>
  <c r="M83" i="46" s="1"/>
  <c r="M84" i="46" s="1"/>
  <c r="N54" i="46"/>
  <c r="L58" i="46"/>
  <c r="M12" i="50" s="1"/>
  <c r="L56" i="46"/>
  <c r="M8" i="50" s="1"/>
  <c r="L57" i="46"/>
  <c r="L59" i="46"/>
  <c r="M14" i="50" s="1"/>
  <c r="L55" i="46"/>
  <c r="M6" i="50" s="1"/>
  <c r="L60" i="46"/>
  <c r="M16" i="50" s="1"/>
  <c r="L61" i="46"/>
  <c r="M18" i="50" s="1"/>
  <c r="AH83" i="46" a="1"/>
  <c r="AH83" i="46" s="1"/>
  <c r="AH84" i="46" s="1"/>
  <c r="R83" i="46" a="1"/>
  <c r="R83" i="46" s="1"/>
  <c r="R84" i="46" s="1"/>
  <c r="BF10" i="46"/>
  <c r="BE22" i="46"/>
  <c r="E56" i="46" l="1"/>
  <c r="E55" i="46"/>
  <c r="E58" i="46"/>
  <c r="M10" i="50"/>
  <c r="E57" i="46"/>
  <c r="E61" i="46"/>
  <c r="E59" i="46"/>
  <c r="E60" i="46"/>
  <c r="N84" i="46"/>
  <c r="S84" i="46"/>
  <c r="AI84" i="46"/>
  <c r="BG10" i="46"/>
  <c r="BF22" i="46"/>
  <c r="AO83" i="46" l="1" a="1"/>
  <c r="AO83" i="46" s="1"/>
  <c r="AP83" i="46" a="1"/>
  <c r="AP83" i="46" s="1"/>
  <c r="AQ83" i="46" a="1"/>
  <c r="AQ83" i="46" s="1"/>
  <c r="AR83" i="46" a="1"/>
  <c r="AR83" i="46" s="1"/>
  <c r="AS83" i="46" a="1"/>
  <c r="AS83" i="46" s="1"/>
  <c r="AT83" i="46" a="1"/>
  <c r="AT83" i="46" s="1"/>
  <c r="AN83" i="46" a="1"/>
  <c r="AN83" i="46" s="1"/>
  <c r="Y14" i="48"/>
  <c r="BH10" i="46"/>
  <c r="BG22" i="46"/>
  <c r="AT84" i="46" l="1"/>
  <c r="AR84" i="46"/>
  <c r="AP84" i="46"/>
  <c r="AQ84" i="46"/>
  <c r="AS84" i="46"/>
  <c r="AO84" i="46"/>
  <c r="AN84" i="46"/>
  <c r="BI10" i="46"/>
  <c r="BH22" i="46"/>
  <c r="BJ10" i="46" l="1"/>
  <c r="BI22" i="46"/>
  <c r="BK10" i="46" l="1"/>
  <c r="BJ22" i="46"/>
  <c r="BL10" i="46" l="1"/>
  <c r="BK22" i="46"/>
  <c r="BM10" i="46" l="1"/>
  <c r="BL22" i="46"/>
  <c r="BN10" i="46" l="1"/>
  <c r="BM22" i="46"/>
  <c r="BO10" i="46" l="1"/>
  <c r="BN22" i="46"/>
  <c r="BP10" i="46" l="1"/>
  <c r="BO22" i="46"/>
  <c r="BQ10" i="46" l="1"/>
  <c r="BP22" i="46"/>
  <c r="BR10" i="46" l="1"/>
  <c r="BQ22" i="46"/>
  <c r="BR22" i="46" l="1"/>
  <c r="BS10" i="46"/>
  <c r="BT10" i="46" l="1"/>
  <c r="BS22" i="46"/>
  <c r="BU10" i="46" l="1"/>
  <c r="BT22" i="46"/>
  <c r="BU22" i="46" l="1"/>
  <c r="N60" i="46"/>
  <c r="N57" i="46"/>
  <c r="G10" i="50" s="1"/>
  <c r="L10" i="50" s="1"/>
  <c r="N55" i="46"/>
  <c r="G6" i="50" s="1"/>
  <c r="L6" i="50" s="1"/>
  <c r="N56" i="46"/>
  <c r="G8" i="50" s="1"/>
  <c r="L8" i="50" s="1"/>
  <c r="N59" i="46"/>
  <c r="G14" i="50" s="1"/>
  <c r="L14" i="50" s="1"/>
  <c r="N58" i="46"/>
  <c r="G12" i="50" s="1"/>
  <c r="L12" i="50" s="1"/>
  <c r="E17" i="46"/>
  <c r="E71" i="46" l="1"/>
  <c r="G71" i="46" s="1"/>
  <c r="G16" i="50"/>
  <c r="L16" i="50" s="1"/>
  <c r="E69" i="46"/>
  <c r="G69" i="46" s="1"/>
  <c r="E70" i="46"/>
  <c r="G70" i="46" s="1"/>
  <c r="E67" i="46"/>
  <c r="G67" i="46" s="1"/>
  <c r="E66" i="46"/>
  <c r="G66" i="46" s="1"/>
  <c r="E68" i="46"/>
  <c r="G68" i="46" s="1"/>
  <c r="F17" i="46"/>
  <c r="I16" i="50" l="1"/>
  <c r="K16" i="50"/>
  <c r="I8" i="50"/>
  <c r="K8" i="50"/>
  <c r="K6" i="50"/>
  <c r="I6" i="50"/>
  <c r="I14" i="50"/>
  <c r="K14" i="50"/>
  <c r="K10" i="50"/>
  <c r="I10" i="50"/>
  <c r="I12" i="50"/>
  <c r="K12" i="50"/>
  <c r="G17" i="46" l="1"/>
  <c r="H17" i="46" l="1"/>
  <c r="I17" i="46" l="1"/>
  <c r="J17" i="46" l="1"/>
  <c r="K17" i="46" l="1"/>
  <c r="L17" i="46" l="1"/>
  <c r="L29" i="46" l="1"/>
  <c r="L78" i="46" s="1"/>
  <c r="L86" i="46"/>
  <c r="M17" i="46"/>
  <c r="M29" i="46" l="1"/>
  <c r="M78" i="46" s="1"/>
  <c r="M86" i="46"/>
  <c r="N17" i="46"/>
  <c r="N29" i="46" l="1"/>
  <c r="N78" i="46" s="1"/>
  <c r="N86" i="46"/>
  <c r="O17" i="46"/>
  <c r="O29" i="46" l="1"/>
  <c r="O78" i="46" s="1"/>
  <c r="O86" i="46"/>
  <c r="P17" i="46"/>
  <c r="P29" i="46" l="1"/>
  <c r="P78" i="46" s="1"/>
  <c r="P86" i="46"/>
  <c r="Q17" i="46"/>
  <c r="Q29" i="46" l="1"/>
  <c r="Q78" i="46" s="1"/>
  <c r="Q86" i="46"/>
  <c r="R17" i="46"/>
  <c r="R29" i="46" l="1"/>
  <c r="R78" i="46" s="1"/>
  <c r="R86" i="46"/>
  <c r="S17" i="46"/>
  <c r="S29" i="46" l="1"/>
  <c r="S78" i="46" s="1"/>
  <c r="S86" i="46"/>
  <c r="T17" i="46"/>
  <c r="T29" i="46" l="1"/>
  <c r="T78" i="46" s="1"/>
  <c r="T86" i="46"/>
  <c r="U17" i="46"/>
  <c r="U29" i="46" l="1"/>
  <c r="U78" i="46" s="1"/>
  <c r="U86" i="46"/>
  <c r="V17" i="46"/>
  <c r="V29" i="46" l="1"/>
  <c r="V78" i="46" s="1"/>
  <c r="V86" i="46"/>
  <c r="W17" i="46"/>
  <c r="W29" i="46" l="1"/>
  <c r="W78" i="46" s="1"/>
  <c r="W86" i="46"/>
  <c r="X17" i="46"/>
  <c r="X29" i="46" l="1"/>
  <c r="X78" i="46" s="1"/>
  <c r="X86" i="46"/>
  <c r="Y17" i="46"/>
  <c r="Y29" i="46" l="1"/>
  <c r="Y78" i="46" s="1"/>
  <c r="Y86" i="46"/>
  <c r="Z17" i="46"/>
  <c r="Z29" i="46" l="1"/>
  <c r="Z78" i="46" s="1"/>
  <c r="Z86" i="46"/>
  <c r="AA17" i="46"/>
  <c r="AA29" i="46" l="1"/>
  <c r="AA78" i="46" s="1"/>
  <c r="AA86" i="46"/>
  <c r="AB17" i="46"/>
  <c r="AB86" i="46" s="1"/>
  <c r="AB79" i="46" l="1"/>
  <c r="AB29" i="46"/>
  <c r="AB78" i="46" s="1"/>
  <c r="N61" i="46"/>
  <c r="G18" i="50" l="1"/>
  <c r="L18" i="50" s="1"/>
  <c r="E72" i="46"/>
  <c r="G72" i="46" s="1"/>
  <c r="R3" i="48"/>
  <c r="AE82" i="46"/>
  <c r="AC82" i="46"/>
  <c r="K18" i="50" l="1"/>
  <c r="Y3" i="48"/>
  <c r="Y18" i="48"/>
  <c r="I18" i="50"/>
  <c r="AI82" i="46"/>
  <c r="AH82" i="46"/>
  <c r="AD82" i="46"/>
  <c r="AF82" i="46"/>
  <c r="AG82" i="46"/>
  <c r="AJ82" i="46"/>
  <c r="Y19" i="48" l="1"/>
  <c r="Y21" i="48"/>
  <c r="R4" i="48"/>
  <c r="U3" i="4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<sst xmlns="http://schemas.openxmlformats.org/spreadsheetml/2006/main" count="379" uniqueCount="134">
  <si>
    <t>STP</t>
  </si>
  <si>
    <t>STP_Short name</t>
  </si>
  <si>
    <t>Frimley Health and Care ICS</t>
  </si>
  <si>
    <t>Frimley</t>
  </si>
  <si>
    <t>Sussex Health and Care Partnership</t>
  </si>
  <si>
    <t>Sussex</t>
  </si>
  <si>
    <t>Hampshire and the Isle of Wight</t>
  </si>
  <si>
    <t>HIOW</t>
  </si>
  <si>
    <t>Surrey Heartlands Health and Care Partnership</t>
  </si>
  <si>
    <t>Surrey</t>
  </si>
  <si>
    <t>Buckinghamshire, Oxfordshire and Berkshire West</t>
  </si>
  <si>
    <t>BOB</t>
  </si>
  <si>
    <t>Kent and Medway</t>
  </si>
  <si>
    <t>K&amp;M</t>
  </si>
  <si>
    <t>South East</t>
  </si>
  <si>
    <t>Population</t>
  </si>
  <si>
    <t>Dose</t>
  </si>
  <si>
    <t>SE</t>
  </si>
  <si>
    <t>Cumulative Dose 1 Vaccine</t>
  </si>
  <si>
    <t>Cumulative Dose 1 Vaccination Rate</t>
  </si>
  <si>
    <t>Target Date</t>
  </si>
  <si>
    <t>Target %</t>
  </si>
  <si>
    <t>Latest Data</t>
  </si>
  <si>
    <t>Days Remaining</t>
  </si>
  <si>
    <t>Pop_Sel</t>
  </si>
  <si>
    <t>Population minus those in cohorts 1-6 (Regional Calculation)</t>
  </si>
  <si>
    <t>Daily Actuals</t>
  </si>
  <si>
    <t>ICS</t>
  </si>
  <si>
    <t>Adrian estimate*</t>
  </si>
  <si>
    <t xml:space="preserve">GP reg* </t>
  </si>
  <si>
    <t xml:space="preserve"> Stephen's modelling </t>
  </si>
  <si>
    <t xml:space="preserve">                   45,836 </t>
  </si>
  <si>
    <t xml:space="preserve">                   44,422 </t>
  </si>
  <si>
    <t xml:space="preserve">                   20,321 </t>
  </si>
  <si>
    <t xml:space="preserve">                   19,622 </t>
  </si>
  <si>
    <t xml:space="preserve">                   40,833 </t>
  </si>
  <si>
    <t xml:space="preserve">                   39,565 </t>
  </si>
  <si>
    <t xml:space="preserve">                   46,840 </t>
  </si>
  <si>
    <t xml:space="preserve">                   45,653 </t>
  </si>
  <si>
    <t xml:space="preserve">                   27,852 </t>
  </si>
  <si>
    <t xml:space="preserve">                   26,558 </t>
  </si>
  <si>
    <t xml:space="preserve">                   39,464 </t>
  </si>
  <si>
    <t xml:space="preserve">                   38,220 </t>
  </si>
  <si>
    <t>Total</t>
  </si>
  <si>
    <t xml:space="preserve">                 221,146 </t>
  </si>
  <si>
    <t xml:space="preserve">                 214,040 </t>
  </si>
  <si>
    <t>*Include JCVI cohorts</t>
  </si>
  <si>
    <t xml:space="preserve">number of 16-17yo’s </t>
  </si>
  <si>
    <t>Total vaccines administered (first and second) for people age 16-17</t>
  </si>
  <si>
    <t>Total first vaccine doses administered for people age 16-17</t>
  </si>
  <si>
    <t>Total second vaccine doses administered for people age 16-17</t>
  </si>
  <si>
    <t>% 16-17 who have received at least one dose​</t>
  </si>
  <si>
    <t>ONS (mid-2019 estimates)</t>
  </si>
  <si>
    <t>ONS (mid-2020 estimates)</t>
  </si>
  <si>
    <t>% 16-17 who have received both doses</t>
  </si>
  <si>
    <t>England</t>
  </si>
  <si>
    <t>Denominator used for percentages and rates</t>
  </si>
  <si>
    <t>Cumulative total</t>
  </si>
  <si>
    <t>New Doses Reported</t>
  </si>
  <si>
    <t>Doses Reported as Administered Yesterday</t>
  </si>
  <si>
    <t>From NAT Report on Futures</t>
  </si>
  <si>
    <t>16-17 year Olds - Population Options</t>
  </si>
  <si>
    <t>Gap to Target</t>
  </si>
  <si>
    <t>Current % Penetration</t>
  </si>
  <si>
    <t>Age</t>
  </si>
  <si>
    <t>C2</t>
  </si>
  <si>
    <t>C4</t>
  </si>
  <si>
    <t>C6</t>
  </si>
  <si>
    <t>no cohort</t>
  </si>
  <si>
    <t>16 &amp; 17</t>
  </si>
  <si>
    <t>MPI denominators from Foundry Report</t>
  </si>
  <si>
    <t>System</t>
  </si>
  <si>
    <t>12 to 15</t>
  </si>
  <si>
    <t>-</t>
  </si>
  <si>
    <t>SE Region</t>
  </si>
  <si>
    <t>12 to 17</t>
  </si>
  <si>
    <t>Unknown</t>
  </si>
  <si>
    <t>DDList1</t>
  </si>
  <si>
    <t>DDList2</t>
  </si>
  <si>
    <t>where not in Cohorts 1-6</t>
  </si>
  <si>
    <t>all Cohorts</t>
  </si>
  <si>
    <t>Set End</t>
  </si>
  <si>
    <t>Set Target</t>
  </si>
  <si>
    <t>% Label</t>
  </si>
  <si>
    <t>National STP ICS (PM Briefing) Report</t>
  </si>
  <si>
    <t>NHS Region</t>
  </si>
  <si>
    <t>STP/ICS Name</t>
  </si>
  <si>
    <t>South West</t>
  </si>
  <si>
    <t>East of England</t>
  </si>
  <si>
    <t>Midlands</t>
  </si>
  <si>
    <t>North West</t>
  </si>
  <si>
    <t>North East and Yorkshire</t>
  </si>
  <si>
    <t>London</t>
  </si>
  <si>
    <t>Sussex and East Surrey Health and Care Partnership</t>
  </si>
  <si>
    <t xml:space="preserve">Daily </t>
  </si>
  <si>
    <t>Number of Days to based projection on</t>
  </si>
  <si>
    <t>Start Date</t>
  </si>
  <si>
    <t>Average</t>
  </si>
  <si>
    <t>Cumulative</t>
  </si>
  <si>
    <t>Modelled Trajectory 1 - Latest 7 Day Rate</t>
  </si>
  <si>
    <t>System Targets based on</t>
  </si>
  <si>
    <t>Remaining To Vaccinate</t>
  </si>
  <si>
    <t>System:</t>
  </si>
  <si>
    <t>CHART SERIES</t>
  </si>
  <si>
    <t>Sel</t>
  </si>
  <si>
    <t>Most recent 7 Days Average</t>
  </si>
  <si>
    <t>Max Events achieved on a single day</t>
  </si>
  <si>
    <t>Most recent 7 Days Average Lbl</t>
  </si>
  <si>
    <t>Actual Shortfall</t>
  </si>
  <si>
    <t>% Projection</t>
  </si>
  <si>
    <t>Actual Projection</t>
  </si>
  <si>
    <t>Projection based on latest 7 day average</t>
  </si>
  <si>
    <t>Cohort Type</t>
  </si>
  <si>
    <t>AltRef</t>
  </si>
  <si>
    <t>Custom Avg</t>
  </si>
  <si>
    <t>Regional Ranking</t>
  </si>
  <si>
    <t>Rank</t>
  </si>
  <si>
    <t>Numbers of Booster vaccinations per day</t>
  </si>
  <si>
    <t>Cumulative numbers of Booster vaccinations by day</t>
  </si>
  <si>
    <t>Booster eligible population</t>
  </si>
  <si>
    <t>Cohort Population Metrics (Foundry)</t>
  </si>
  <si>
    <t>All cohorts</t>
  </si>
  <si>
    <t>Booster</t>
  </si>
  <si>
    <t>Booster penetration (right axis)</t>
  </si>
  <si>
    <t>Booster Vaccinations</t>
  </si>
  <si>
    <t>Boosters</t>
  </si>
  <si>
    <t>South East Regional Modelled Demand Profile (100%)</t>
  </si>
  <si>
    <t>Foundry Denominator</t>
  </si>
  <si>
    <t>Difference</t>
  </si>
  <si>
    <t>Cumulative of above</t>
  </si>
  <si>
    <t>South East regional modelled demand profiles give number of individuals becoming newly eligible for a booster in the coming 7 days, e.g. the data for 04/10/2021 gives the number who will become eligible for a booster between 04/10 and 10/10.</t>
  </si>
  <si>
    <t>Please note that the eligible population increases every day, which is why we sometimes see a dip in the uptake rate - in these instances we have a case of an increase in population which is larger that the increase in doses administered.</t>
  </si>
  <si>
    <t>Cumulative booster events</t>
  </si>
  <si>
    <t>Daily Avg Req.*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</si>
</sst>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%"/>
    <numFmt numFmtId="167" formatCode="_(* #,##0_);_(* \(#,##0\);_(* &quot;-&quot;??_);_(@_)"/>
    <numFmt numFmtId="168" formatCode="ddd\ dd/mm/yyyy"/>
    <numFmt numFmtId="169" formatCode="dd/mm/yyyy;@"/>
    <numFmt numFmtId="170" formatCode="#,##0_ ;[Red]\-#,##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4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sz val="11"/>
      <name val="Calibri"/>
      <family val="2"/>
    </font>
    <font>
      <b/>
      <sz val="16"/>
      <color theme="1"/>
      <name val="Calibri"/>
      <family val="2"/>
      <scheme val="minor"/>
    </font>
    <font>
      <b/>
      <sz val="10"/>
      <color theme="5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b/>
      <u/>
      <sz val="10"/>
      <color theme="4"/>
      <name val="Calibri"/>
      <family val="2"/>
      <scheme val="minor"/>
    </font>
    <font>
      <u/>
      <sz val="10"/>
      <color theme="1"/>
      <name val="Calibri"/>
      <family val="2"/>
      <scheme val="minor"/>
    </font>
    <font>
      <i/>
      <sz val="10"/>
      <color theme="4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9"/>
      <color theme="1" tint="0.34998626667073579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0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DEE"/>
        <bgColor indexed="64"/>
      </patternFill>
    </fill>
    <fill>
      <patternFill patternType="solid">
        <fgColor rgb="FF0072CE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2" tint="-0.249977111117893"/>
      </bottom>
      <diagonal/>
    </border>
    <border>
      <left/>
      <right/>
      <top style="medium">
        <color theme="4" tint="-0.499984740745262"/>
      </top>
      <bottom style="thin">
        <color theme="2" tint="-0.249977111117893"/>
      </bottom>
      <diagonal/>
    </border>
    <border>
      <left style="medium">
        <color theme="8" tint="-0.499984740745262"/>
      </left>
      <right style="thin">
        <color theme="4" tint="-0.499984740745262"/>
      </right>
      <top style="medium">
        <color theme="4" tint="-0.499984740745262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4" tint="-0.499984740745262"/>
      </right>
      <top style="medium">
        <color theme="4" tint="-0.499984740745262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theme="8" tint="-0.499984740745262"/>
      </right>
      <top style="medium">
        <color theme="4" tint="-0.499984740745262"/>
      </top>
      <bottom style="thin">
        <color theme="2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2" tint="-0.249977111117893"/>
      </top>
      <bottom style="thin">
        <color theme="2" tint="-0.249977111117893"/>
      </bottom>
      <diagonal/>
    </border>
    <border>
      <left/>
      <right/>
      <top style="thin">
        <color theme="2" tint="-0.249977111117893"/>
      </top>
      <bottom style="thin">
        <color theme="2" tint="-0.249977111117893"/>
      </bottom>
      <diagonal/>
    </border>
    <border>
      <left style="medium">
        <color theme="8" tint="-0.499984740745262"/>
      </left>
      <right style="thin">
        <color theme="4" tint="-0.499984740745262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4" tint="-0.499984740745262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theme="8" tint="-0.499984740745262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/>
      <right/>
      <top style="thin">
        <color theme="2" tint="-0.249977111117893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/>
      <diagonal/>
    </border>
    <border>
      <left style="medium">
        <color theme="8" tint="-0.499984740745262"/>
      </left>
      <right style="thin">
        <color theme="4" tint="-0.499984740745262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4" tint="-0.499984740745262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theme="8" tint="-0.499984740745262"/>
      </right>
      <top/>
      <bottom style="thin">
        <color theme="2" tint="-0.249977111117893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/>
      <right style="thin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thin">
        <color theme="4" tint="-0.499984740745262"/>
      </right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dotted">
        <color theme="9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9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79998168889431442"/>
      </top>
      <bottom/>
      <diagonal/>
    </border>
    <border>
      <left/>
      <right style="thin">
        <color theme="4" tint="0.79998168889431442"/>
      </right>
      <top style="thin">
        <color theme="4" tint="0.79998168889431442"/>
      </top>
      <bottom/>
      <diagonal/>
    </border>
    <border>
      <left/>
      <right style="thin">
        <color theme="4" tint="0.79998168889431442"/>
      </right>
      <top/>
      <bottom/>
      <diagonal/>
    </border>
    <border>
      <left style="thin">
        <color theme="4" tint="0.79998168889431442"/>
      </left>
      <right style="dotted">
        <color theme="9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dotted">
        <color theme="9"/>
      </right>
      <top/>
      <bottom/>
      <diagonal/>
    </border>
    <border>
      <left style="thin">
        <color theme="4" tint="0.79995117038483843"/>
      </left>
      <right/>
      <top style="thin">
        <color theme="4" tint="0.79995117038483843"/>
      </top>
      <bottom style="thin">
        <color theme="4" tint="0.79998168889431442"/>
      </bottom>
      <diagonal/>
    </border>
    <border>
      <left/>
      <right/>
      <top style="thin">
        <color theme="4" tint="0.79995117038483843"/>
      </top>
      <bottom style="thin">
        <color theme="4" tint="0.79998168889431442"/>
      </bottom>
      <diagonal/>
    </border>
    <border>
      <left/>
      <right style="thin">
        <color theme="4" tint="0.79998168889431442"/>
      </right>
      <top style="thin">
        <color theme="4" tint="0.79995117038483843"/>
      </top>
      <bottom style="thin">
        <color theme="4" tint="0.79998168889431442"/>
      </bottom>
      <diagonal/>
    </border>
    <border>
      <left style="thin">
        <color theme="4" tint="0.79998168889431442"/>
      </left>
      <right style="dotted">
        <color theme="9"/>
      </right>
      <top style="thin">
        <color theme="4" tint="0.79995117038483843"/>
      </top>
      <bottom style="thin">
        <color theme="4" tint="0.79998168889431442"/>
      </bottom>
      <diagonal/>
    </border>
    <border>
      <left/>
      <right style="thin">
        <color theme="4" tint="0.79995117038483843"/>
      </right>
      <top style="thin">
        <color theme="4" tint="0.79995117038483843"/>
      </top>
      <bottom style="thin">
        <color theme="4" tint="0.79998168889431442"/>
      </bottom>
      <diagonal/>
    </border>
    <border>
      <left style="thin">
        <color theme="4" tint="0.79995117038483843"/>
      </left>
      <right/>
      <top style="thin">
        <color theme="4" tint="0.79998168889431442"/>
      </top>
      <bottom/>
      <diagonal/>
    </border>
    <border>
      <left/>
      <right style="thin">
        <color theme="4" tint="0.79995117038483843"/>
      </right>
      <top style="thin">
        <color theme="4" tint="0.79998168889431442"/>
      </top>
      <bottom/>
      <diagonal/>
    </border>
    <border>
      <left style="thin">
        <color theme="4" tint="0.79995117038483843"/>
      </left>
      <right/>
      <top/>
      <bottom/>
      <diagonal/>
    </border>
    <border>
      <left/>
      <right style="thin">
        <color theme="4" tint="0.79995117038483843"/>
      </right>
      <top/>
      <bottom/>
      <diagonal/>
    </border>
    <border>
      <left style="thin">
        <color theme="4" tint="0.79995117038483843"/>
      </left>
      <right/>
      <top/>
      <bottom style="thin">
        <color theme="4" tint="0.79995117038483843"/>
      </bottom>
      <diagonal/>
    </border>
    <border>
      <left/>
      <right/>
      <top/>
      <bottom style="thin">
        <color theme="4" tint="0.79995117038483843"/>
      </bottom>
      <diagonal/>
    </border>
    <border>
      <left/>
      <right style="thin">
        <color theme="4" tint="0.79998168889431442"/>
      </right>
      <top/>
      <bottom style="thin">
        <color theme="4" tint="0.79995117038483843"/>
      </bottom>
      <diagonal/>
    </border>
    <border>
      <left style="thin">
        <color theme="4" tint="0.79998168889431442"/>
      </left>
      <right style="dotted">
        <color theme="9"/>
      </right>
      <top/>
      <bottom style="thin">
        <color theme="4" tint="0.79995117038483843"/>
      </bottom>
      <diagonal/>
    </border>
    <border>
      <left/>
      <right style="thin">
        <color theme="4" tint="0.79995117038483843"/>
      </right>
      <top/>
      <bottom style="thin">
        <color theme="4" tint="0.79995117038483843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63">
    <xf numFmtId="0" fontId="0" fillId="0" borderId="0" xfId="0"/>
    <xf numFmtId="14" fontId="0" fillId="0" borderId="0" xfId="0" applyNumberFormat="1"/>
    <xf numFmtId="0" fontId="2" fillId="0" borderId="0" xfId="0" applyFont="1"/>
    <xf numFmtId="9" fontId="0" fillId="0" borderId="0" xfId="1" applyFont="1"/>
    <xf numFmtId="0" fontId="0" fillId="2" borderId="0" xfId="0" applyFill="1"/>
    <xf numFmtId="3" fontId="0" fillId="0" borderId="0" xfId="0" applyNumberFormat="1"/>
    <xf numFmtId="14" fontId="0" fillId="2" borderId="0" xfId="0" applyNumberFormat="1" applyFill="1"/>
    <xf numFmtId="165" fontId="0" fillId="0" borderId="0" xfId="2" applyNumberFormat="1" applyFont="1" applyAlignment="1">
      <alignment horizontal="right"/>
    </xf>
    <xf numFmtId="165" fontId="2" fillId="0" borderId="0" xfId="2" applyNumberFormat="1" applyFont="1" applyAlignment="1">
      <alignment horizontal="right"/>
    </xf>
    <xf numFmtId="0" fontId="0" fillId="3" borderId="0" xfId="0" applyFill="1"/>
    <xf numFmtId="0" fontId="0" fillId="4" borderId="0" xfId="0" applyFill="1"/>
    <xf numFmtId="165" fontId="0" fillId="4" borderId="0" xfId="2" applyNumberFormat="1" applyFont="1" applyFill="1"/>
    <xf numFmtId="165" fontId="0" fillId="0" borderId="0" xfId="2" applyNumberFormat="1" applyFont="1"/>
    <xf numFmtId="165" fontId="0" fillId="3" borderId="0" xfId="2" applyNumberFormat="1" applyFont="1" applyFill="1"/>
    <xf numFmtId="165" fontId="0" fillId="3" borderId="0" xfId="2" applyNumberFormat="1" applyFont="1" applyFill="1" applyAlignment="1">
      <alignment horizontal="right"/>
    </xf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165" fontId="0" fillId="0" borderId="0" xfId="2" applyNumberFormat="1" applyFont="1" applyAlignment="1">
      <alignment horizontal="left"/>
    </xf>
    <xf numFmtId="0" fontId="0" fillId="0" borderId="0" xfId="0" applyAlignment="1">
      <alignment vertical="center"/>
    </xf>
    <xf numFmtId="0" fontId="0" fillId="5" borderId="0" xfId="0" applyFont="1" applyFill="1"/>
    <xf numFmtId="0" fontId="8" fillId="5" borderId="24" xfId="0" applyFont="1" applyFill="1" applyBorder="1" applyAlignment="1">
      <alignment horizontal="left" vertical="center" wrapText="1"/>
    </xf>
    <xf numFmtId="0" fontId="3" fillId="7" borderId="25" xfId="0" applyFont="1" applyFill="1" applyBorder="1" applyAlignment="1">
      <alignment vertical="center" wrapText="1"/>
    </xf>
    <xf numFmtId="0" fontId="3" fillId="7" borderId="26" xfId="0" applyFont="1" applyFill="1" applyBorder="1" applyAlignment="1">
      <alignment vertical="center" wrapText="1"/>
    </xf>
    <xf numFmtId="0" fontId="3" fillId="7" borderId="26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3" fontId="9" fillId="5" borderId="4" xfId="0" applyNumberFormat="1" applyFont="1" applyFill="1" applyBorder="1" applyAlignment="1">
      <alignment horizontal="right" vertical="center" wrapText="1"/>
    </xf>
    <xf numFmtId="3" fontId="9" fillId="5" borderId="5" xfId="0" applyNumberFormat="1" applyFont="1" applyFill="1" applyBorder="1" applyAlignment="1">
      <alignment horizontal="right" vertical="center" wrapText="1"/>
    </xf>
    <xf numFmtId="3" fontId="9" fillId="5" borderId="6" xfId="0" applyNumberFormat="1" applyFont="1" applyFill="1" applyBorder="1" applyAlignment="1">
      <alignment horizontal="right" vertical="center" wrapText="1"/>
    </xf>
    <xf numFmtId="0" fontId="7" fillId="6" borderId="7" xfId="0" applyFont="1" applyFill="1" applyBorder="1" applyAlignment="1">
      <alignment horizontal="left" vertical="center" wrapText="1"/>
    </xf>
    <xf numFmtId="0" fontId="7" fillId="6" borderId="8" xfId="0" applyFont="1" applyFill="1" applyBorder="1" applyAlignment="1">
      <alignment horizontal="left" vertical="center" wrapText="1"/>
    </xf>
    <xf numFmtId="3" fontId="9" fillId="6" borderId="9" xfId="0" applyNumberFormat="1" applyFont="1" applyFill="1" applyBorder="1" applyAlignment="1">
      <alignment horizontal="right" vertical="center" wrapText="1"/>
    </xf>
    <xf numFmtId="3" fontId="9" fillId="6" borderId="10" xfId="0" applyNumberFormat="1" applyFont="1" applyFill="1" applyBorder="1" applyAlignment="1">
      <alignment horizontal="right" vertical="center" wrapText="1"/>
    </xf>
    <xf numFmtId="3" fontId="9" fillId="6" borderId="11" xfId="0" applyNumberFormat="1" applyFont="1" applyFill="1" applyBorder="1" applyAlignment="1">
      <alignment horizontal="right" vertical="center" wrapText="1"/>
    </xf>
    <xf numFmtId="0" fontId="7" fillId="5" borderId="7" xfId="0" applyFont="1" applyFill="1" applyBorder="1" applyAlignment="1">
      <alignment horizontal="left" vertical="center" wrapText="1"/>
    </xf>
    <xf numFmtId="0" fontId="7" fillId="5" borderId="8" xfId="0" applyFont="1" applyFill="1" applyBorder="1" applyAlignment="1">
      <alignment horizontal="left" vertical="center" wrapText="1"/>
    </xf>
    <xf numFmtId="3" fontId="9" fillId="5" borderId="9" xfId="0" applyNumberFormat="1" applyFont="1" applyFill="1" applyBorder="1" applyAlignment="1">
      <alignment horizontal="right" vertical="center" wrapText="1"/>
    </xf>
    <xf numFmtId="3" fontId="9" fillId="5" borderId="10" xfId="0" applyNumberFormat="1" applyFont="1" applyFill="1" applyBorder="1" applyAlignment="1">
      <alignment horizontal="right" vertical="center" wrapText="1"/>
    </xf>
    <xf numFmtId="3" fontId="9" fillId="5" borderId="11" xfId="0" applyNumberFormat="1" applyFont="1" applyFill="1" applyBorder="1" applyAlignment="1">
      <alignment horizontal="right" vertical="center" wrapText="1"/>
    </xf>
    <xf numFmtId="0" fontId="7" fillId="6" borderId="13" xfId="0" applyFont="1" applyFill="1" applyBorder="1" applyAlignment="1">
      <alignment horizontal="left" vertical="center" wrapText="1"/>
    </xf>
    <xf numFmtId="166" fontId="9" fillId="6" borderId="9" xfId="0" applyNumberFormat="1" applyFont="1" applyFill="1" applyBorder="1" applyAlignment="1">
      <alignment horizontal="right" vertical="center" wrapText="1"/>
    </xf>
    <xf numFmtId="166" fontId="9" fillId="6" borderId="10" xfId="0" applyNumberFormat="1" applyFont="1" applyFill="1" applyBorder="1" applyAlignment="1">
      <alignment horizontal="right" vertical="center" wrapText="1"/>
    </xf>
    <xf numFmtId="166" fontId="9" fillId="6" borderId="11" xfId="0" applyNumberFormat="1" applyFont="1" applyFill="1" applyBorder="1" applyAlignment="1">
      <alignment horizontal="right" vertical="center" wrapText="1"/>
    </xf>
    <xf numFmtId="0" fontId="7" fillId="6" borderId="15" xfId="0" applyFont="1" applyFill="1" applyBorder="1" applyAlignment="1">
      <alignment horizontal="left" vertical="center" wrapText="1"/>
    </xf>
    <xf numFmtId="0" fontId="7" fillId="5" borderId="13" xfId="0" applyFont="1" applyFill="1" applyBorder="1" applyAlignment="1">
      <alignment horizontal="left" vertical="center" wrapText="1"/>
    </xf>
    <xf numFmtId="166" fontId="9" fillId="5" borderId="17" xfId="0" applyNumberFormat="1" applyFont="1" applyFill="1" applyBorder="1" applyAlignment="1">
      <alignment horizontal="right" vertical="center" wrapText="1"/>
    </xf>
    <xf numFmtId="3" fontId="9" fillId="5" borderId="18" xfId="0" applyNumberFormat="1" applyFont="1" applyFill="1" applyBorder="1" applyAlignment="1">
      <alignment horizontal="right" vertical="center" wrapText="1"/>
    </xf>
    <xf numFmtId="3" fontId="9" fillId="5" borderId="19" xfId="0" applyNumberFormat="1" applyFont="1" applyFill="1" applyBorder="1" applyAlignment="1">
      <alignment horizontal="right" vertical="center" wrapText="1"/>
    </xf>
    <xf numFmtId="0" fontId="7" fillId="5" borderId="15" xfId="0" applyFont="1" applyFill="1" applyBorder="1" applyAlignment="1">
      <alignment horizontal="left" vertical="center" wrapText="1"/>
    </xf>
    <xf numFmtId="0" fontId="7" fillId="6" borderId="12" xfId="0" applyFont="1" applyFill="1" applyBorder="1" applyAlignment="1">
      <alignment vertical="top" wrapText="1"/>
    </xf>
    <xf numFmtId="0" fontId="7" fillId="6" borderId="14" xfId="0" applyFont="1" applyFill="1" applyBorder="1" applyAlignment="1">
      <alignment vertical="top" wrapText="1"/>
    </xf>
    <xf numFmtId="0" fontId="7" fillId="5" borderId="16" xfId="0" applyFont="1" applyFill="1" applyBorder="1" applyAlignment="1">
      <alignment vertical="top" wrapText="1"/>
    </xf>
    <xf numFmtId="0" fontId="7" fillId="5" borderId="20" xfId="0" applyFont="1" applyFill="1" applyBorder="1" applyAlignment="1">
      <alignment vertical="top" wrapText="1"/>
    </xf>
    <xf numFmtId="0" fontId="3" fillId="7" borderId="21" xfId="0" applyFont="1" applyFill="1" applyBorder="1" applyAlignment="1">
      <alignment vertical="center" wrapText="1"/>
    </xf>
    <xf numFmtId="0" fontId="3" fillId="7" borderId="22" xfId="0" applyFont="1" applyFill="1" applyBorder="1" applyAlignment="1">
      <alignment vertical="center" wrapText="1"/>
    </xf>
    <xf numFmtId="0" fontId="3" fillId="7" borderId="23" xfId="0" applyFont="1" applyFill="1" applyBorder="1" applyAlignment="1">
      <alignment vertical="center" wrapText="1"/>
    </xf>
    <xf numFmtId="0" fontId="10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9" fontId="5" fillId="0" borderId="0" xfId="0" applyNumberFormat="1" applyFont="1"/>
    <xf numFmtId="0" fontId="0" fillId="0" borderId="0" xfId="0" applyAlignment="1">
      <alignment horizontal="right" vertical="top" wrapText="1"/>
    </xf>
    <xf numFmtId="3" fontId="5" fillId="0" borderId="0" xfId="0" applyNumberFormat="1" applyFont="1"/>
    <xf numFmtId="3" fontId="11" fillId="0" borderId="0" xfId="0" applyNumberFormat="1" applyFont="1"/>
    <xf numFmtId="0" fontId="11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3" fontId="12" fillId="0" borderId="0" xfId="0" applyNumberFormat="1" applyFont="1"/>
    <xf numFmtId="166" fontId="5" fillId="0" borderId="0" xfId="1" applyNumberFormat="1" applyFont="1"/>
    <xf numFmtId="0" fontId="13" fillId="0" borderId="0" xfId="0" applyFont="1" applyAlignment="1">
      <alignment horizontal="right"/>
    </xf>
    <xf numFmtId="0" fontId="0" fillId="8" borderId="27" xfId="0" applyFont="1" applyFill="1" applyBorder="1"/>
    <xf numFmtId="0" fontId="0" fillId="0" borderId="27" xfId="0" applyFont="1" applyBorder="1"/>
    <xf numFmtId="3" fontId="0" fillId="3" borderId="0" xfId="0" applyNumberFormat="1" applyFill="1"/>
    <xf numFmtId="165" fontId="0" fillId="2" borderId="0" xfId="0" applyNumberFormat="1" applyFill="1"/>
    <xf numFmtId="165" fontId="0" fillId="0" borderId="0" xfId="2" applyNumberFormat="1" applyFont="1" applyAlignment="1">
      <alignment horizontal="center"/>
    </xf>
    <xf numFmtId="9" fontId="0" fillId="2" borderId="0" xfId="1" applyFont="1" applyFill="1"/>
    <xf numFmtId="167" fontId="0" fillId="0" borderId="0" xfId="2" applyNumberFormat="1" applyFont="1"/>
    <xf numFmtId="166" fontId="0" fillId="0" borderId="0" xfId="1" applyNumberFormat="1" applyFont="1"/>
    <xf numFmtId="0" fontId="6" fillId="0" borderId="0" xfId="0" applyFont="1" applyAlignment="1">
      <alignment horizontal="right"/>
    </xf>
    <xf numFmtId="167" fontId="13" fillId="0" borderId="0" xfId="2" applyNumberFormat="1" applyFont="1"/>
    <xf numFmtId="167" fontId="6" fillId="0" borderId="0" xfId="2" applyNumberFormat="1" applyFont="1" applyAlignment="1">
      <alignment horizontal="right"/>
    </xf>
    <xf numFmtId="164" fontId="0" fillId="0" borderId="0" xfId="2" applyFont="1"/>
    <xf numFmtId="164" fontId="0" fillId="3" borderId="0" xfId="2" applyFont="1" applyFill="1" applyAlignment="1">
      <alignment horizontal="right"/>
    </xf>
    <xf numFmtId="0" fontId="10" fillId="0" borderId="0" xfId="0" applyFont="1"/>
    <xf numFmtId="43" fontId="0" fillId="0" borderId="0" xfId="0" applyNumberFormat="1"/>
    <xf numFmtId="167" fontId="0" fillId="4" borderId="0" xfId="2" applyNumberFormat="1" applyFont="1" applyFill="1"/>
    <xf numFmtId="0" fontId="12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/>
    <xf numFmtId="0" fontId="5" fillId="0" borderId="0" xfId="0" applyFont="1" applyAlignment="1">
      <alignment horizontal="right" vertical="top" wrapText="1"/>
    </xf>
    <xf numFmtId="0" fontId="5" fillId="0" borderId="0" xfId="0" applyFont="1" applyAlignment="1">
      <alignment vertical="center"/>
    </xf>
    <xf numFmtId="167" fontId="5" fillId="0" borderId="0" xfId="2" applyNumberFormat="1" applyFont="1" applyAlignment="1">
      <alignment horizontal="right" vertical="center"/>
    </xf>
    <xf numFmtId="0" fontId="18" fillId="0" borderId="0" xfId="0" applyFont="1" applyAlignment="1">
      <alignment horizontal="left"/>
    </xf>
    <xf numFmtId="3" fontId="18" fillId="0" borderId="0" xfId="0" applyNumberFormat="1" applyFont="1"/>
    <xf numFmtId="166" fontId="18" fillId="0" borderId="0" xfId="1" applyNumberFormat="1" applyFont="1"/>
    <xf numFmtId="3" fontId="19" fillId="0" borderId="0" xfId="0" applyNumberFormat="1" applyFont="1"/>
    <xf numFmtId="0" fontId="2" fillId="0" borderId="1" xfId="0" applyFont="1" applyBorder="1" applyAlignment="1">
      <alignment vertical="center"/>
    </xf>
    <xf numFmtId="0" fontId="20" fillId="0" borderId="0" xfId="0" applyFont="1" applyAlignment="1">
      <alignment horizontal="left"/>
    </xf>
    <xf numFmtId="166" fontId="12" fillId="0" borderId="28" xfId="1" applyNumberFormat="1" applyFont="1" applyBorder="1" applyAlignment="1">
      <alignment horizontal="left" vertical="center" indent="1"/>
    </xf>
    <xf numFmtId="0" fontId="13" fillId="0" borderId="29" xfId="0" applyFont="1" applyBorder="1" applyAlignment="1">
      <alignment vertical="center"/>
    </xf>
    <xf numFmtId="167" fontId="13" fillId="0" borderId="29" xfId="2" applyNumberFormat="1" applyFont="1" applyBorder="1" applyAlignment="1">
      <alignment horizontal="right" vertical="center"/>
    </xf>
    <xf numFmtId="166" fontId="12" fillId="0" borderId="30" xfId="1" applyNumberFormat="1" applyFont="1" applyBorder="1" applyAlignment="1">
      <alignment horizontal="left" vertical="center" indent="1"/>
    </xf>
    <xf numFmtId="0" fontId="12" fillId="0" borderId="1" xfId="0" applyFont="1" applyBorder="1" applyAlignment="1">
      <alignment horizontal="right" vertical="top" wrapText="1"/>
    </xf>
    <xf numFmtId="0" fontId="12" fillId="0" borderId="1" xfId="0" applyFont="1" applyBorder="1" applyAlignment="1">
      <alignment horizontal="left" vertical="top" wrapText="1"/>
    </xf>
    <xf numFmtId="3" fontId="0" fillId="0" borderId="0" xfId="0" applyNumberFormat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/>
    </xf>
    <xf numFmtId="3" fontId="0" fillId="0" borderId="0" xfId="0" applyNumberFormat="1" applyFont="1" applyAlignment="1">
      <alignment vertical="center" wrapText="1"/>
    </xf>
    <xf numFmtId="168" fontId="0" fillId="0" borderId="0" xfId="0" applyNumberForma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3" fillId="0" borderId="0" xfId="0" applyFont="1" applyAlignment="1">
      <alignment horizontal="left"/>
    </xf>
    <xf numFmtId="167" fontId="23" fillId="0" borderId="0" xfId="2" applyNumberFormat="1" applyFont="1" applyBorder="1" applyAlignment="1">
      <alignment vertical="center"/>
    </xf>
    <xf numFmtId="165" fontId="23" fillId="0" borderId="0" xfId="0" applyNumberFormat="1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167" fontId="23" fillId="0" borderId="31" xfId="2" applyNumberFormat="1" applyFont="1" applyBorder="1" applyAlignment="1">
      <alignment vertical="center"/>
    </xf>
    <xf numFmtId="165" fontId="23" fillId="0" borderId="31" xfId="0" applyNumberFormat="1" applyFont="1" applyBorder="1" applyAlignment="1">
      <alignment vertical="center"/>
    </xf>
    <xf numFmtId="0" fontId="23" fillId="0" borderId="31" xfId="0" applyFont="1" applyBorder="1" applyAlignment="1">
      <alignment vertical="center"/>
    </xf>
    <xf numFmtId="0" fontId="23" fillId="0" borderId="32" xfId="0" applyFont="1" applyBorder="1" applyAlignment="1">
      <alignment vertical="center"/>
    </xf>
    <xf numFmtId="0" fontId="23" fillId="0" borderId="33" xfId="0" applyFont="1" applyBorder="1" applyAlignment="1">
      <alignment vertical="center"/>
    </xf>
    <xf numFmtId="166" fontId="22" fillId="0" borderId="34" xfId="1" applyNumberFormat="1" applyFont="1" applyBorder="1" applyAlignment="1">
      <alignment horizontal="left" vertical="center"/>
    </xf>
    <xf numFmtId="166" fontId="22" fillId="0" borderId="35" xfId="1" applyNumberFormat="1" applyFont="1" applyBorder="1" applyAlignment="1">
      <alignment horizontal="left" vertical="center"/>
    </xf>
    <xf numFmtId="0" fontId="21" fillId="0" borderId="0" xfId="0" applyFont="1" applyAlignment="1">
      <alignment horizontal="right" vertical="top" wrapText="1"/>
    </xf>
    <xf numFmtId="0" fontId="24" fillId="0" borderId="0" xfId="0" applyFont="1" applyAlignment="1">
      <alignment horizontal="right" vertical="top" wrapText="1"/>
    </xf>
    <xf numFmtId="0" fontId="24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167" fontId="22" fillId="0" borderId="37" xfId="2" applyNumberFormat="1" applyFont="1" applyBorder="1" applyAlignment="1">
      <alignment vertical="center"/>
    </xf>
    <xf numFmtId="165" fontId="22" fillId="0" borderId="37" xfId="0" applyNumberFormat="1" applyFont="1" applyBorder="1" applyAlignment="1">
      <alignment vertical="center"/>
    </xf>
    <xf numFmtId="0" fontId="22" fillId="0" borderId="37" xfId="0" applyFont="1" applyBorder="1" applyAlignment="1">
      <alignment vertical="center"/>
    </xf>
    <xf numFmtId="0" fontId="23" fillId="0" borderId="38" xfId="0" applyFont="1" applyBorder="1" applyAlignment="1">
      <alignment vertical="center"/>
    </xf>
    <xf numFmtId="166" fontId="22" fillId="0" borderId="39" xfId="1" applyNumberFormat="1" applyFont="1" applyBorder="1" applyAlignment="1">
      <alignment horizontal="left" vertical="center"/>
    </xf>
    <xf numFmtId="0" fontId="0" fillId="0" borderId="40" xfId="0" applyBorder="1"/>
    <xf numFmtId="0" fontId="23" fillId="0" borderId="41" xfId="0" applyFont="1" applyBorder="1" applyAlignment="1">
      <alignment vertical="center"/>
    </xf>
    <xf numFmtId="0" fontId="21" fillId="0" borderId="42" xfId="0" applyFont="1" applyBorder="1"/>
    <xf numFmtId="0" fontId="23" fillId="0" borderId="43" xfId="0" applyFont="1" applyBorder="1" applyAlignment="1">
      <alignment vertical="center"/>
    </xf>
    <xf numFmtId="0" fontId="21" fillId="0" borderId="44" xfId="0" applyFont="1" applyBorder="1"/>
    <xf numFmtId="0" fontId="23" fillId="0" borderId="45" xfId="0" applyFont="1" applyBorder="1" applyAlignment="1">
      <alignment vertical="center"/>
    </xf>
    <xf numFmtId="167" fontId="23" fillId="0" borderId="46" xfId="2" applyNumberFormat="1" applyFont="1" applyBorder="1" applyAlignment="1">
      <alignment vertical="center"/>
    </xf>
    <xf numFmtId="165" fontId="23" fillId="0" borderId="46" xfId="0" applyNumberFormat="1" applyFont="1" applyBorder="1" applyAlignment="1">
      <alignment vertical="center"/>
    </xf>
    <xf numFmtId="0" fontId="23" fillId="0" borderId="46" xfId="0" applyFont="1" applyBorder="1" applyAlignment="1">
      <alignment vertical="center"/>
    </xf>
    <xf numFmtId="0" fontId="23" fillId="0" borderId="47" xfId="0" applyFont="1" applyBorder="1" applyAlignment="1">
      <alignment vertical="center"/>
    </xf>
    <xf numFmtId="166" fontId="22" fillId="0" borderId="48" xfId="1" applyNumberFormat="1" applyFont="1" applyBorder="1" applyAlignment="1">
      <alignment horizontal="left" vertical="center"/>
    </xf>
    <xf numFmtId="0" fontId="0" fillId="0" borderId="49" xfId="0" applyBorder="1"/>
    <xf numFmtId="0" fontId="22" fillId="0" borderId="36" xfId="0" applyFont="1" applyBorder="1" applyAlignment="1">
      <alignment horizontal="left" vertical="center"/>
    </xf>
    <xf numFmtId="165" fontId="0" fillId="3" borderId="0" xfId="0" applyNumberFormat="1" applyFill="1"/>
    <xf numFmtId="1" fontId="0" fillId="0" borderId="0" xfId="0" applyNumberFormat="1"/>
    <xf numFmtId="0" fontId="0" fillId="0" borderId="0" xfId="0" applyAlignment="1">
      <alignment vertical="center" wrapText="1"/>
    </xf>
    <xf numFmtId="167" fontId="0" fillId="0" borderId="0" xfId="2" applyNumberFormat="1" applyFont="1" applyAlignment="1">
      <alignment vertical="center" wrapText="1"/>
    </xf>
    <xf numFmtId="9" fontId="0" fillId="0" borderId="0" xfId="1" applyNumberFormat="1" applyFont="1"/>
    <xf numFmtId="0" fontId="0" fillId="9" borderId="0" xfId="0" applyFill="1"/>
    <xf numFmtId="9" fontId="0" fillId="9" borderId="0" xfId="0" applyNumberFormat="1" applyFill="1"/>
    <xf numFmtId="165" fontId="0" fillId="9" borderId="0" xfId="0" applyNumberFormat="1" applyFill="1"/>
    <xf numFmtId="9" fontId="0" fillId="0" borderId="0" xfId="1" applyFont="1" applyAlignment="1">
      <alignment vertical="center" wrapText="1"/>
    </xf>
    <xf numFmtId="169" fontId="2" fillId="0" borderId="0" xfId="0" applyNumberFormat="1" applyFont="1" applyAlignment="1">
      <alignment horizontal="center" vertical="center" wrapText="1"/>
    </xf>
    <xf numFmtId="170" fontId="0" fillId="0" borderId="0" xfId="0" applyNumberFormat="1"/>
    <xf numFmtId="170" fontId="25" fillId="0" borderId="0" xfId="0" applyNumberFormat="1" applyFont="1"/>
    <xf numFmtId="1" fontId="0" fillId="0" borderId="0" xfId="1" applyNumberFormat="1" applyFont="1"/>
    <xf numFmtId="0" fontId="26" fillId="0" borderId="0" xfId="0" applyFont="1"/>
    <xf numFmtId="9" fontId="25" fillId="0" borderId="0" xfId="1" applyFont="1"/>
    <xf numFmtId="0" fontId="14" fillId="0" borderId="0" xfId="0" applyFont="1" applyFill="1" applyAlignment="1">
      <alignment horizontal="right"/>
    </xf>
    <xf numFmtId="3" fontId="14" fillId="0" borderId="0" xfId="0" applyNumberFormat="1" applyFont="1" applyFill="1"/>
    <xf numFmtId="0" fontId="6" fillId="3" borderId="1" xfId="0" applyFont="1" applyFill="1" applyBorder="1" applyAlignment="1">
      <alignment horizontal="left" vertical="center"/>
    </xf>
  </cellXfs>
  <cellStyles count="3">
    <cellStyle name="Comma" xfId="2" builtinId="3"/>
    <cellStyle name="Normal" xfId="0" builtinId="0"/>
    <cellStyle name="Percent" xfId="1" builtinId="5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4472C4"/>
      <color rgb="FFFFFBEF"/>
      <color rgb="FFA5A5A5"/>
      <color rgb="FFFFD966"/>
      <color rgb="FFFFFF66"/>
      <color rgb="FF44546A"/>
      <color rgb="FFDE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2062960335862638E-2"/>
          <c:y val="0.1269457504862252"/>
          <c:w val="0.93958565550237338"/>
          <c:h val="0.79501274570894465"/>
        </c:manualLayout>
      </c:layout>
      <c:barChart>
        <c:barDir val="col"/>
        <c:grouping val="clustered"/>
        <c:varyColors val="0"/>
        <c:ser>
          <c:idx val="3"/>
          <c:order val="1"/>
          <c:tx>
            <c:strRef>
              <c:f>pm_chrt_data!$C$80</c:f>
              <c:strCache>
                <c:ptCount val="1"/>
                <c:pt idx="0">
                  <c:v> Daily Actuals </c:v>
                </c:pt>
              </c:strCache>
            </c:strRef>
          </c:tx>
          <c:spPr>
            <a:solidFill>
              <a:srgbClr val="4472C4">
                <a:alpha val="30196"/>
              </a:srgbClr>
            </a:solidFill>
            <a:ln>
              <a:noFill/>
            </a:ln>
            <a:effectLst/>
          </c:spPr>
          <c:invertIfNegative val="0"/>
          <c:cat>
            <c:numRef>
              <c:f>pm_chrt_data!$F$77:$AT$77</c:f>
              <c:numCache>
                <c:formatCode>m/d/yyyy</c:formatCode>
                <c:ptCount val="41"/>
                <c:pt idx="6">
                  <c:v>44459</c:v>
                </c:pt>
                <c:pt idx="7">
                  <c:v>44460</c:v>
                </c:pt>
                <c:pt idx="8">
                  <c:v>44461</c:v>
                </c:pt>
                <c:pt idx="9">
                  <c:v>44462</c:v>
                </c:pt>
                <c:pt idx="10">
                  <c:v>44463</c:v>
                </c:pt>
                <c:pt idx="11">
                  <c:v>44464</c:v>
                </c:pt>
                <c:pt idx="12">
                  <c:v>44465</c:v>
                </c:pt>
                <c:pt idx="13">
                  <c:v>44466</c:v>
                </c:pt>
                <c:pt idx="14">
                  <c:v>44467</c:v>
                </c:pt>
                <c:pt idx="15">
                  <c:v>44468</c:v>
                </c:pt>
                <c:pt idx="16">
                  <c:v>44469</c:v>
                </c:pt>
                <c:pt idx="17">
                  <c:v>44470</c:v>
                </c:pt>
                <c:pt idx="18">
                  <c:v>44471</c:v>
                </c:pt>
                <c:pt idx="19">
                  <c:v>44472</c:v>
                </c:pt>
                <c:pt idx="20">
                  <c:v>44473</c:v>
                </c:pt>
                <c:pt idx="21">
                  <c:v>44474</c:v>
                </c:pt>
                <c:pt idx="22">
                  <c:v>44475</c:v>
                </c:pt>
                <c:pt idx="23">
                  <c:v>44476</c:v>
                </c:pt>
                <c:pt idx="24">
                  <c:v>44477</c:v>
                </c:pt>
                <c:pt idx="25">
                  <c:v>44478</c:v>
                </c:pt>
                <c:pt idx="26">
                  <c:v>44479</c:v>
                </c:pt>
                <c:pt idx="27">
                  <c:v>44480</c:v>
                </c:pt>
                <c:pt idx="28">
                  <c:v>44481</c:v>
                </c:pt>
                <c:pt idx="29">
                  <c:v>44482</c:v>
                </c:pt>
                <c:pt idx="30">
                  <c:v>44483</c:v>
                </c:pt>
                <c:pt idx="31">
                  <c:v>44484</c:v>
                </c:pt>
                <c:pt idx="32">
                  <c:v>44485</c:v>
                </c:pt>
                <c:pt idx="33">
                  <c:v>44486</c:v>
                </c:pt>
                <c:pt idx="34">
                  <c:v>44487</c:v>
                </c:pt>
                <c:pt idx="35">
                  <c:v>44488</c:v>
                </c:pt>
                <c:pt idx="36">
                  <c:v>44489</c:v>
                </c:pt>
                <c:pt idx="37">
                  <c:v>44490</c:v>
                </c:pt>
                <c:pt idx="38">
                  <c:v>44491</c:v>
                </c:pt>
                <c:pt idx="39">
                  <c:v>44492</c:v>
                </c:pt>
                <c:pt idx="40">
                  <c:v>44493</c:v>
                </c:pt>
              </c:numCache>
            </c:numRef>
          </c:cat>
          <c:val>
            <c:numRef>
              <c:f>pm_chrt_data!$F$80:$AT$80</c:f>
              <c:numCache>
                <c:formatCode>_(* #,##0_);_(* \(#,##0\);_(* "-"??_);_(@_)</c:formatCode>
                <c:ptCount val="41"/>
                <c:pt idx="6">
                  <c:v>586</c:v>
                </c:pt>
                <c:pt idx="7">
                  <c:v>1939</c:v>
                </c:pt>
                <c:pt idx="8">
                  <c:v>6058</c:v>
                </c:pt>
                <c:pt idx="9">
                  <c:v>8609</c:v>
                </c:pt>
                <c:pt idx="10">
                  <c:v>12521</c:v>
                </c:pt>
                <c:pt idx="11">
                  <c:v>16068</c:v>
                </c:pt>
                <c:pt idx="12">
                  <c:v>8186</c:v>
                </c:pt>
                <c:pt idx="13">
                  <c:v>11136</c:v>
                </c:pt>
                <c:pt idx="14">
                  <c:v>16687</c:v>
                </c:pt>
                <c:pt idx="15">
                  <c:v>17168</c:v>
                </c:pt>
                <c:pt idx="16">
                  <c:v>23423</c:v>
                </c:pt>
                <c:pt idx="17">
                  <c:v>26674</c:v>
                </c:pt>
                <c:pt idx="18">
                  <c:v>39418</c:v>
                </c:pt>
                <c:pt idx="19">
                  <c:v>15694</c:v>
                </c:pt>
                <c:pt idx="20">
                  <c:v>18074</c:v>
                </c:pt>
                <c:pt idx="21">
                  <c:v>25470</c:v>
                </c:pt>
                <c:pt idx="22">
                  <c:v>26893</c:v>
                </c:pt>
                <c:pt idx="23">
                  <c:v>28935</c:v>
                </c:pt>
                <c:pt idx="24">
                  <c:v>27303</c:v>
                </c:pt>
                <c:pt idx="25">
                  <c:v>41552</c:v>
                </c:pt>
                <c:pt idx="26">
                  <c:v>16562</c:v>
                </c:pt>
                <c:pt idx="27">
                  <c:v>17201</c:v>
                </c:pt>
                <c:pt idx="28">
                  <c:v>28243</c:v>
                </c:pt>
                <c:pt idx="29">
                  <c:v>29733</c:v>
                </c:pt>
                <c:pt idx="30">
                  <c:v>34419</c:v>
                </c:pt>
                <c:pt idx="31">
                  <c:v>28930</c:v>
                </c:pt>
                <c:pt idx="32">
                  <c:v>49917</c:v>
                </c:pt>
                <c:pt idx="33">
                  <c:v>19059</c:v>
                </c:pt>
                <c:pt idx="34">
                  <c:v>21955</c:v>
                </c:pt>
                <c:pt idx="35">
                  <c:v>32950</c:v>
                </c:pt>
                <c:pt idx="36">
                  <c:v>34199</c:v>
                </c:pt>
                <c:pt idx="37">
                  <c:v>39424</c:v>
                </c:pt>
                <c:pt idx="38">
                  <c:v>38451</c:v>
                </c:pt>
                <c:pt idx="39">
                  <c:v>54378</c:v>
                </c:pt>
                <c:pt idx="40">
                  <c:v>21312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67-B617-463F-BD36-3D2AFD7A46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74669968"/>
        <c:axId val="874672592"/>
      </c:barChart>
      <c:lineChart>
        <c:grouping val="standard"/>
        <c:varyColors val="0"/>
        <c:ser>
          <c:idx val="1"/>
          <c:order val="0"/>
          <c:tx>
            <c:strRef>
              <c:f>pm_chrt_data!$C$81</c:f>
              <c:strCache>
                <c:ptCount val="1"/>
                <c:pt idx="0">
                  <c:v> Max Events achieved on a single day </c:v>
                </c:pt>
              </c:strCache>
            </c:strRef>
          </c:tx>
          <c:spPr>
            <a:ln w="9525" cap="rnd">
              <a:noFill/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pm_chrt_data!$F$77:$AT$77</c:f>
              <c:numCache>
                <c:formatCode>m/d/yyyy</c:formatCode>
                <c:ptCount val="41"/>
                <c:pt idx="6">
                  <c:v>44459</c:v>
                </c:pt>
                <c:pt idx="7">
                  <c:v>44460</c:v>
                </c:pt>
                <c:pt idx="8">
                  <c:v>44461</c:v>
                </c:pt>
                <c:pt idx="9">
                  <c:v>44462</c:v>
                </c:pt>
                <c:pt idx="10">
                  <c:v>44463</c:v>
                </c:pt>
                <c:pt idx="11">
                  <c:v>44464</c:v>
                </c:pt>
                <c:pt idx="12">
                  <c:v>44465</c:v>
                </c:pt>
                <c:pt idx="13">
                  <c:v>44466</c:v>
                </c:pt>
                <c:pt idx="14">
                  <c:v>44467</c:v>
                </c:pt>
                <c:pt idx="15">
                  <c:v>44468</c:v>
                </c:pt>
                <c:pt idx="16">
                  <c:v>44469</c:v>
                </c:pt>
                <c:pt idx="17">
                  <c:v>44470</c:v>
                </c:pt>
                <c:pt idx="18">
                  <c:v>44471</c:v>
                </c:pt>
                <c:pt idx="19">
                  <c:v>44472</c:v>
                </c:pt>
                <c:pt idx="20">
                  <c:v>44473</c:v>
                </c:pt>
                <c:pt idx="21">
                  <c:v>44474</c:v>
                </c:pt>
                <c:pt idx="22">
                  <c:v>44475</c:v>
                </c:pt>
                <c:pt idx="23">
                  <c:v>44476</c:v>
                </c:pt>
                <c:pt idx="24">
                  <c:v>44477</c:v>
                </c:pt>
                <c:pt idx="25">
                  <c:v>44478</c:v>
                </c:pt>
                <c:pt idx="26">
                  <c:v>44479</c:v>
                </c:pt>
                <c:pt idx="27">
                  <c:v>44480</c:v>
                </c:pt>
                <c:pt idx="28">
                  <c:v>44481</c:v>
                </c:pt>
                <c:pt idx="29">
                  <c:v>44482</c:v>
                </c:pt>
                <c:pt idx="30">
                  <c:v>44483</c:v>
                </c:pt>
                <c:pt idx="31">
                  <c:v>44484</c:v>
                </c:pt>
                <c:pt idx="32">
                  <c:v>44485</c:v>
                </c:pt>
                <c:pt idx="33">
                  <c:v>44486</c:v>
                </c:pt>
                <c:pt idx="34">
                  <c:v>44487</c:v>
                </c:pt>
                <c:pt idx="35">
                  <c:v>44488</c:v>
                </c:pt>
                <c:pt idx="36">
                  <c:v>44489</c:v>
                </c:pt>
                <c:pt idx="37">
                  <c:v>44490</c:v>
                </c:pt>
                <c:pt idx="38">
                  <c:v>44491</c:v>
                </c:pt>
                <c:pt idx="39">
                  <c:v>44492</c:v>
                </c:pt>
                <c:pt idx="40">
                  <c:v>44493</c:v>
                </c:pt>
              </c:numCache>
            </c:numRef>
          </c:cat>
          <c:val>
            <c:numRef>
              <c:f>pm_chrt_data!$F$81:$AT$81</c:f>
              <c:numCache>
                <c:formatCode>_(* #,##0_);_(* \(#,##0\);_(* "-"??_);_(@_)</c:formatCode>
                <c:ptCount val="41"/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54378</c:v>
                </c:pt>
                <c:pt idx="4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6-B617-463F-BD36-3D2AFD7A4622}"/>
            </c:ext>
          </c:extLst>
        </c:ser>
        <c:ser>
          <c:idx val="4"/>
          <c:order val="2"/>
          <c:tx>
            <c:strRef>
              <c:f>pm_chrt_data!$C$83</c:f>
              <c:strCache>
                <c:ptCount val="1"/>
                <c:pt idx="0">
                  <c:v> Most recent 7 Days Average 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strRef>
                  <c:f>pm_chrt_data!$L$84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{E63AC751-89A2-421A-B407-AC0C5184EE2A}</c15:txfldGUID>
                      <c15:f>pm_chrt_data!$L$84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C-B617-463F-BD36-3D2AFD7A4622}"/>
                </c:ext>
              </c:extLst>
            </c:dLbl>
            <c:dLbl>
              <c:idx val="1"/>
              <c:tx>
                <c:strRef>
                  <c:f>pm_chrt_data!$M$84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{6C06BA9D-057C-4E9A-8622-851EDB4C7AA7}</c15:txfldGUID>
                      <c15:f>pm_chrt_data!$M$84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D-B617-463F-BD36-3D2AFD7A4622}"/>
                </c:ext>
              </c:extLst>
            </c:dLbl>
            <c:dLbl>
              <c:idx val="2"/>
              <c:tx>
                <c:strRef>
                  <c:f>pm_chrt_data!$N$84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{E5ECA5C6-9581-42E6-BE1E-9ACBFC783C01}</c15:txfldGUID>
                      <c15:f>pm_chrt_data!$N$84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E-B617-463F-BD36-3D2AFD7A4622}"/>
                </c:ext>
              </c:extLst>
            </c:dLbl>
            <c:dLbl>
              <c:idx val="3"/>
              <c:tx>
                <c:strRef>
                  <c:f>pm_chrt_data!$O$84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{7E1A6C70-DD01-45D1-9961-AE9F7418BD01}</c15:txfldGUID>
                      <c15:f>pm_chrt_data!$O$84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F-B617-463F-BD36-3D2AFD7A4622}"/>
                </c:ext>
              </c:extLst>
            </c:dLbl>
            <c:dLbl>
              <c:idx val="4"/>
              <c:tx>
                <c:strRef>
                  <c:f>pm_chrt_data!$P$84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{9E07E3B2-4226-4A58-9C6D-D9FBA97B0E3D}</c15:txfldGUID>
                      <c15:f>pm_chrt_data!$P$84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0-B617-463F-BD36-3D2AFD7A4622}"/>
                </c:ext>
              </c:extLst>
            </c:dLbl>
            <c:dLbl>
              <c:idx val="5"/>
              <c:tx>
                <c:strRef>
                  <c:f>pm_chrt_data!$Q$84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{C0BD7B9A-6B97-4ACD-B84F-DD7B6E84062F}</c15:txfldGUID>
                      <c15:f>pm_chrt_data!$Q$84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1-B617-463F-BD36-3D2AFD7A4622}"/>
                </c:ext>
              </c:extLst>
            </c:dLbl>
            <c:dLbl>
              <c:idx val="6"/>
              <c:tx>
                <c:strRef>
                  <c:f>pm_chrt_data!$R$84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{37A71AF9-87D5-4B8A-82E8-6EB7201F8359}</c15:txfldGUID>
                      <c15:f>pm_chrt_data!$R$84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2-B617-463F-BD36-3D2AFD7A4622}"/>
                </c:ext>
              </c:extLst>
            </c:dLbl>
            <c:dLbl>
              <c:idx val="7"/>
              <c:tx>
                <c:strRef>
                  <c:f>pm_chrt_data!$S$84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{A2D0DD75-5035-44F8-B3D9-27D0F3F13FD4}</c15:txfldGUID>
                      <c15:f>pm_chrt_data!$S$84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3-B617-463F-BD36-3D2AFD7A4622}"/>
                </c:ext>
              </c:extLst>
            </c:dLbl>
            <c:dLbl>
              <c:idx val="8"/>
              <c:tx>
                <c:strRef>
                  <c:f>pm_chrt_data!$T$84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{E22ACDB9-4377-4D25-9727-536CCC43FA28}</c15:txfldGUID>
                      <c15:f>pm_chrt_data!$T$84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4-B617-463F-BD36-3D2AFD7A4622}"/>
                </c:ext>
              </c:extLst>
            </c:dLbl>
            <c:dLbl>
              <c:idx val="9"/>
              <c:tx>
                <c:strRef>
                  <c:f>pm_chrt_data!$U$84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{A63399C2-223B-491F-AB14-549EACDE6FD7}</c15:txfldGUID>
                      <c15:f>pm_chrt_data!$U$84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5-B617-463F-BD36-3D2AFD7A4622}"/>
                </c:ext>
              </c:extLst>
            </c:dLbl>
            <c:dLbl>
              <c:idx val="10"/>
              <c:tx>
                <c:strRef>
                  <c:f>pm_chrt_data!$V$84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{CDCCAB4C-9D4C-4E5D-8434-D46F8B29FD14}</c15:txfldGUID>
                      <c15:f>pm_chrt_data!$V$84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6-B617-463F-BD36-3D2AFD7A4622}"/>
                </c:ext>
              </c:extLst>
            </c:dLbl>
            <c:dLbl>
              <c:idx val="11"/>
              <c:tx>
                <c:strRef>
                  <c:f>pm_chrt_data!$W$84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{9943975E-B30E-4536-B1E0-7517479B39DF}</c15:txfldGUID>
                      <c15:f>pm_chrt_data!$W$84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7-B617-463F-BD36-3D2AFD7A4622}"/>
                </c:ext>
              </c:extLst>
            </c:dLbl>
            <c:dLbl>
              <c:idx val="12"/>
              <c:tx>
                <c:strRef>
                  <c:f>pm_chrt_data!$X$84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{12FDEB96-B4D0-482D-94E9-D3C0CA77F792}</c15:txfldGUID>
                      <c15:f>pm_chrt_data!$X$84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8-B617-463F-BD36-3D2AFD7A4622}"/>
                </c:ext>
              </c:extLst>
            </c:dLbl>
            <c:dLbl>
              <c:idx val="13"/>
              <c:tx>
                <c:strRef>
                  <c:f>pm_chrt_data!$Y$84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{DD6F37E7-D534-4CC3-B602-E425F2C22339}</c15:txfldGUID>
                      <c15:f>pm_chrt_data!$Y$84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9-B617-463F-BD36-3D2AFD7A4622}"/>
                </c:ext>
              </c:extLst>
            </c:dLbl>
            <c:dLbl>
              <c:idx val="14"/>
              <c:tx>
                <c:strRef>
                  <c:f>pm_chrt_data!$Z$84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{F5AED3CF-5978-420D-AFB4-F027637EA7CF}</c15:txfldGUID>
                      <c15:f>pm_chrt_data!$Z$84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A-B617-463F-BD36-3D2AFD7A4622}"/>
                </c:ext>
              </c:extLst>
            </c:dLbl>
            <c:dLbl>
              <c:idx val="15"/>
              <c:tx>
                <c:strRef>
                  <c:f>pm_chrt_data!$AA$84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{C51A8F1E-7854-40AF-B8A8-4CA6AC85BCD1}</c15:txfldGUID>
                      <c15:f>pm_chrt_data!$AA$84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B-B617-463F-BD36-3D2AFD7A4622}"/>
                </c:ext>
              </c:extLst>
            </c:dLbl>
            <c:dLbl>
              <c:idx val="16"/>
              <c:tx>
                <c:strRef>
                  <c:f>pm_chrt_data!$AB$84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{ADEA6555-63E4-481F-B62F-00680AD1BC25}</c15:txfldGUID>
                      <c15:f>pm_chrt_data!$AB$84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C-B617-463F-BD36-3D2AFD7A4622}"/>
                </c:ext>
              </c:extLst>
            </c:dLbl>
            <c:dLbl>
              <c:idx val="17"/>
              <c:tx>
                <c:strRef>
                  <c:f>pm_chrt_data!$AC$84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{4866A6FA-198F-4AB6-A896-6B4CD464966C}</c15:txfldGUID>
                      <c15:f>pm_chrt_data!$AC$84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D-B617-463F-BD36-3D2AFD7A4622}"/>
                </c:ext>
              </c:extLst>
            </c:dLbl>
            <c:dLbl>
              <c:idx val="18"/>
              <c:tx>
                <c:strRef>
                  <c:f>pm_chrt_data!$AD$84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{D8AA7DD6-5659-4F97-B026-CF4B2668F8D6}</c15:txfldGUID>
                      <c15:f>pm_chrt_data!$AD$84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E-B617-463F-BD36-3D2AFD7A4622}"/>
                </c:ext>
              </c:extLst>
            </c:dLbl>
            <c:dLbl>
              <c:idx val="19"/>
              <c:tx>
                <c:strRef>
                  <c:f>pm_chrt_data!$AE$84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{693CAF09-46CD-427F-9C08-A12E4F979FFA}</c15:txfldGUID>
                      <c15:f>pm_chrt_data!$AE$84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F-B617-463F-BD36-3D2AFD7A4622}"/>
                </c:ext>
              </c:extLst>
            </c:dLbl>
            <c:dLbl>
              <c:idx val="20"/>
              <c:tx>
                <c:strRef>
                  <c:f>pm_chrt_data!$AF$84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{7393B727-F393-4293-802E-60E4C122459F}</c15:txfldGUID>
                      <c15:f>pm_chrt_data!$AF$84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0-B617-463F-BD36-3D2AFD7A4622}"/>
                </c:ext>
              </c:extLst>
            </c:dLbl>
            <c:dLbl>
              <c:idx val="21"/>
              <c:tx>
                <c:strRef>
                  <c:f>pm_chrt_data!$AG$84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{34763A26-18B2-41BF-85EC-2C5105600AD0}</c15:txfldGUID>
                      <c15:f>pm_chrt_data!$AG$84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1-B617-463F-BD36-3D2AFD7A4622}"/>
                </c:ext>
              </c:extLst>
            </c:dLbl>
            <c:dLbl>
              <c:idx val="22"/>
              <c:tx>
                <c:strRef>
                  <c:f>pm_chrt_data!$AH$84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{0477EDC8-D0AC-419A-A0B7-1E7D7E79CD5F}</c15:txfldGUID>
                      <c15:f>pm_chrt_data!$AH$84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2-B617-463F-BD36-3D2AFD7A4622}"/>
                </c:ext>
              </c:extLst>
            </c:dLbl>
            <c:dLbl>
              <c:idx val="23"/>
              <c:tx>
                <c:strRef>
                  <c:f>pm_chrt_data!$AI$84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{3BDC6ECB-06D4-4A7C-8AB0-BD3AD1F3B82D}</c15:txfldGUID>
                      <c15:f>pm_chrt_data!$AI$84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3-B617-463F-BD36-3D2AFD7A4622}"/>
                </c:ext>
              </c:extLst>
            </c:dLbl>
            <c:dLbl>
              <c:idx val="24"/>
              <c:tx>
                <c:strRef>
                  <c:f>pm_chrt_data!$AJ$84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{605C94FD-AA99-41A2-9F10-152FFCA2928C}</c15:txfldGUID>
                      <c15:f>pm_chrt_data!$AJ$84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4-B617-463F-BD36-3D2AFD7A4622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5-B617-463F-BD36-3D2AFD7A4622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6-B617-463F-BD36-3D2AFD7A4622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7-B617-463F-BD36-3D2AFD7A4622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8-B617-463F-BD36-3D2AFD7A4622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9-B617-463F-BD36-3D2AFD7A4622}"/>
                </c:ext>
              </c:extLst>
            </c:dLbl>
            <c:dLbl>
              <c:idx val="30"/>
              <c:layout>
                <c:manualLayout>
                  <c:x val="-5.8541508957860207E-2"/>
                  <c:y val="-1.91846522781774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A-B617-463F-BD36-3D2AFD7A4622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B-B617-463F-BD36-3D2AFD7A4622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52-4CFE-9930-B11D9463A6CD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52-4CFE-9930-B11D9463A6CD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552-4CFE-9930-B11D9463A6CD}"/>
                </c:ext>
              </c:extLst>
            </c:dLbl>
            <c:dLbl>
              <c:idx val="35"/>
              <c:tx>
                <c:strRef>
                  <c:f>pm_chrt_data!$F$84</c:f>
                  <c:strCache>
                    <c:ptCount val="1"/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{1848CDEA-38B9-4A23-A670-9EECA5C2C99D}</c15:txfldGUID>
                      <c15:f>pm_chrt_data!$F$84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1552-4CFE-9930-B11D9463A6CD}"/>
                </c:ext>
              </c:extLst>
            </c:dLbl>
            <c:dLbl>
              <c:idx val="36"/>
              <c:tx>
                <c:strRef>
                  <c:f>pm_chrt_data!$G$84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{E5F4D947-0ED1-47A0-BF3D-94F750FA08F9}</c15:txfldGUID>
                      <c15:f>pm_chrt_data!$G$84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1552-4CFE-9930-B11D9463A6CD}"/>
                </c:ext>
              </c:extLst>
            </c:dLbl>
            <c:dLbl>
              <c:idx val="37"/>
              <c:tx>
                <c:strRef>
                  <c:f>pm_chrt_data!$H$84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{F45CBFB4-C042-48C7-87FF-D71859FF0599}</c15:txfldGUID>
                      <c15:f>pm_chrt_data!$H$84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1552-4CFE-9930-B11D9463A6CD}"/>
                </c:ext>
              </c:extLst>
            </c:dLbl>
            <c:dLbl>
              <c:idx val="38"/>
              <c:tx>
                <c:strRef>
                  <c:f>pm_chrt_data!$I$84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{89BA87C3-703A-410F-990B-2B11E5E6F277}</c15:txfldGUID>
                      <c15:f>pm_chrt_data!$I$84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39"/>
              <c:tx>
                <c:strRef>
                  <c:f>pm_chrt_data!$J$84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{677B6B36-6F2C-4501-8612-366A9E3456A3}</c15:txfldGUID>
                      <c15:f>pm_chrt_data!$J$84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40"/>
              <c:tx>
                <c:strRef>
                  <c:f>pm_chrt_data!$K$84</c:f>
                  <c:strCache>
                    <c:ptCount val="1"/>
                    <c:pt idx="0">
                      <c:v>  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{48A8B789-4ACF-45F1-9B02-D86EB149CCD1}</c15:txfldGUID>
                      <c15:f>pm_chrt_data!$K$84</c15:f>
                      <c15:dlblFieldTableCache>
                        <c:ptCount val="1"/>
                        <c:pt idx="0">
                          <c:v>  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pm_chrt_data!$F$83:$AT$83</c:f>
              <c:numCache>
                <c:formatCode>_(* #,##0_);_(* \(#,##0\);_(* "-"??_);_(@_)</c:formatCode>
                <c:ptCount val="41"/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34667</c:v>
                </c:pt>
                <c:pt idx="35">
                  <c:v>34667</c:v>
                </c:pt>
                <c:pt idx="36">
                  <c:v>34667</c:v>
                </c:pt>
                <c:pt idx="37">
                  <c:v>34667</c:v>
                </c:pt>
                <c:pt idx="38">
                  <c:v>34667</c:v>
                </c:pt>
                <c:pt idx="39">
                  <c:v>34667</c:v>
                </c:pt>
                <c:pt idx="40">
                  <c:v>34667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B-B617-463F-BD36-3D2AFD7A4622}"/>
            </c:ext>
          </c:extLst>
        </c:ser>
        <c:ser>
          <c:idx val="2"/>
          <c:order val="3"/>
          <c:tx>
            <c:strRef>
              <c:f>pm_chrt_data!$C$82</c:f>
              <c:strCache>
                <c:ptCount val="1"/>
                <c:pt idx="0">
                  <c:v> Daily Average Required to hit 100% </c:v>
                </c:pt>
              </c:strCache>
            </c:strRef>
          </c:tx>
          <c:spPr>
            <a:ln w="19050" cap="rnd">
              <a:solidFill>
                <a:srgbClr val="44546A">
                  <a:alpha val="50196"/>
                </a:srgbClr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2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552-4CFE-9930-B11D9463A6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pm_chrt_data!$F$77:$AT$77</c:f>
              <c:numCache>
                <c:formatCode>m/d/yyyy</c:formatCode>
                <c:ptCount val="41"/>
                <c:pt idx="6">
                  <c:v>44459</c:v>
                </c:pt>
                <c:pt idx="7">
                  <c:v>44460</c:v>
                </c:pt>
                <c:pt idx="8">
                  <c:v>44461</c:v>
                </c:pt>
                <c:pt idx="9">
                  <c:v>44462</c:v>
                </c:pt>
                <c:pt idx="10">
                  <c:v>44463</c:v>
                </c:pt>
                <c:pt idx="11">
                  <c:v>44464</c:v>
                </c:pt>
                <c:pt idx="12">
                  <c:v>44465</c:v>
                </c:pt>
                <c:pt idx="13">
                  <c:v>44466</c:v>
                </c:pt>
                <c:pt idx="14">
                  <c:v>44467</c:v>
                </c:pt>
                <c:pt idx="15">
                  <c:v>44468</c:v>
                </c:pt>
                <c:pt idx="16">
                  <c:v>44469</c:v>
                </c:pt>
                <c:pt idx="17">
                  <c:v>44470</c:v>
                </c:pt>
                <c:pt idx="18">
                  <c:v>44471</c:v>
                </c:pt>
                <c:pt idx="19">
                  <c:v>44472</c:v>
                </c:pt>
                <c:pt idx="20">
                  <c:v>44473</c:v>
                </c:pt>
                <c:pt idx="21">
                  <c:v>44474</c:v>
                </c:pt>
                <c:pt idx="22">
                  <c:v>44475</c:v>
                </c:pt>
                <c:pt idx="23">
                  <c:v>44476</c:v>
                </c:pt>
                <c:pt idx="24">
                  <c:v>44477</c:v>
                </c:pt>
                <c:pt idx="25">
                  <c:v>44478</c:v>
                </c:pt>
                <c:pt idx="26">
                  <c:v>44479</c:v>
                </c:pt>
                <c:pt idx="27">
                  <c:v>44480</c:v>
                </c:pt>
                <c:pt idx="28">
                  <c:v>44481</c:v>
                </c:pt>
                <c:pt idx="29">
                  <c:v>44482</c:v>
                </c:pt>
                <c:pt idx="30">
                  <c:v>44483</c:v>
                </c:pt>
                <c:pt idx="31">
                  <c:v>44484</c:v>
                </c:pt>
                <c:pt idx="32">
                  <c:v>44485</c:v>
                </c:pt>
                <c:pt idx="33">
                  <c:v>44486</c:v>
                </c:pt>
                <c:pt idx="34">
                  <c:v>44487</c:v>
                </c:pt>
                <c:pt idx="35">
                  <c:v>44488</c:v>
                </c:pt>
                <c:pt idx="36">
                  <c:v>44489</c:v>
                </c:pt>
                <c:pt idx="37">
                  <c:v>44490</c:v>
                </c:pt>
                <c:pt idx="38">
                  <c:v>44491</c:v>
                </c:pt>
                <c:pt idx="39">
                  <c:v>44492</c:v>
                </c:pt>
                <c:pt idx="40">
                  <c:v>44493</c:v>
                </c:pt>
              </c:numCache>
            </c:numRef>
          </c:cat>
          <c:val>
            <c:numRef>
              <c:f>pm_chrt_data!$F$82:$AT$82</c:f>
              <c:numCache>
                <c:formatCode>_(* #,##0_);_(* \(#,##0\);_(* "-"??_);_(@_)</c:formatCode>
                <c:ptCount val="41"/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8-B617-463F-BD36-3D2AFD7A46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4669968"/>
        <c:axId val="874672592"/>
      </c:lineChart>
      <c:lineChart>
        <c:grouping val="standard"/>
        <c:varyColors val="0"/>
        <c:ser>
          <c:idx val="0"/>
          <c:order val="4"/>
          <c:tx>
            <c:strRef>
              <c:f>pm_chrt_data!$C$78</c:f>
              <c:strCache>
                <c:ptCount val="1"/>
                <c:pt idx="0">
                  <c:v>Booster penetration (right axis)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Lbls>
            <c:dLbl>
              <c:idx val="34"/>
              <c:layout>
                <c:manualLayout>
                  <c:x val="-2.9270754478930253E-2"/>
                  <c:y val="-3.11750599520384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pm_chrt_data!$F$77:$AT$77</c:f>
              <c:numCache>
                <c:formatCode>m/d/yyyy</c:formatCode>
                <c:ptCount val="41"/>
                <c:pt idx="6">
                  <c:v>44459</c:v>
                </c:pt>
                <c:pt idx="7">
                  <c:v>44460</c:v>
                </c:pt>
                <c:pt idx="8">
                  <c:v>44461</c:v>
                </c:pt>
                <c:pt idx="9">
                  <c:v>44462</c:v>
                </c:pt>
                <c:pt idx="10">
                  <c:v>44463</c:v>
                </c:pt>
                <c:pt idx="11">
                  <c:v>44464</c:v>
                </c:pt>
                <c:pt idx="12">
                  <c:v>44465</c:v>
                </c:pt>
                <c:pt idx="13">
                  <c:v>44466</c:v>
                </c:pt>
                <c:pt idx="14">
                  <c:v>44467</c:v>
                </c:pt>
                <c:pt idx="15">
                  <c:v>44468</c:v>
                </c:pt>
                <c:pt idx="16">
                  <c:v>44469</c:v>
                </c:pt>
                <c:pt idx="17">
                  <c:v>44470</c:v>
                </c:pt>
                <c:pt idx="18">
                  <c:v>44471</c:v>
                </c:pt>
                <c:pt idx="19">
                  <c:v>44472</c:v>
                </c:pt>
                <c:pt idx="20">
                  <c:v>44473</c:v>
                </c:pt>
                <c:pt idx="21">
                  <c:v>44474</c:v>
                </c:pt>
                <c:pt idx="22">
                  <c:v>44475</c:v>
                </c:pt>
                <c:pt idx="23">
                  <c:v>44476</c:v>
                </c:pt>
                <c:pt idx="24">
                  <c:v>44477</c:v>
                </c:pt>
                <c:pt idx="25">
                  <c:v>44478</c:v>
                </c:pt>
                <c:pt idx="26">
                  <c:v>44479</c:v>
                </c:pt>
                <c:pt idx="27">
                  <c:v>44480</c:v>
                </c:pt>
                <c:pt idx="28">
                  <c:v>44481</c:v>
                </c:pt>
                <c:pt idx="29">
                  <c:v>44482</c:v>
                </c:pt>
                <c:pt idx="30">
                  <c:v>44483</c:v>
                </c:pt>
                <c:pt idx="31">
                  <c:v>44484</c:v>
                </c:pt>
                <c:pt idx="32">
                  <c:v>44485</c:v>
                </c:pt>
                <c:pt idx="33">
                  <c:v>44486</c:v>
                </c:pt>
                <c:pt idx="34">
                  <c:v>44487</c:v>
                </c:pt>
                <c:pt idx="35">
                  <c:v>44488</c:v>
                </c:pt>
                <c:pt idx="36">
                  <c:v>44489</c:v>
                </c:pt>
                <c:pt idx="37">
                  <c:v>44490</c:v>
                </c:pt>
                <c:pt idx="38">
                  <c:v>44491</c:v>
                </c:pt>
                <c:pt idx="39">
                  <c:v>44492</c:v>
                </c:pt>
                <c:pt idx="40">
                  <c:v>44493</c:v>
                </c:pt>
              </c:numCache>
            </c:numRef>
          </c:cat>
          <c:val>
            <c:numRef>
              <c:f>pm_chrt_data!$F$78:$AT$78</c:f>
              <c:numCache>
                <c:formatCode>0.0%</c:formatCode>
                <c:ptCount val="41"/>
                <c:pt idx="6">
                  <c:v>1.1491043562968064E-2</c:v>
                </c:pt>
                <c:pt idx="7">
                  <c:v>1.5638380126537024E-2</c:v>
                </c:pt>
                <c:pt idx="8">
                  <c:v>2.9553203849165256E-2</c:v>
                </c:pt>
                <c:pt idx="9">
                  <c:v>5.6280187212675928E-2</c:v>
                </c:pt>
                <c:pt idx="10">
                  <c:v>8.2917034979164042E-2</c:v>
                </c:pt>
                <c:pt idx="11">
                  <c:v>0.11299830614617057</c:v>
                </c:pt>
                <c:pt idx="12">
                  <c:v>0.12754942442442443</c:v>
                </c:pt>
                <c:pt idx="13">
                  <c:v>0.14650546005089604</c:v>
                </c:pt>
                <c:pt idx="14">
                  <c:v>0.1693864359983083</c:v>
                </c:pt>
                <c:pt idx="15">
                  <c:v>0.18520749568170933</c:v>
                </c:pt>
                <c:pt idx="16">
                  <c:v>0.20684386707167732</c:v>
                </c:pt>
                <c:pt idx="17">
                  <c:v>0.23890061101586882</c:v>
                </c:pt>
                <c:pt idx="18">
                  <c:v>0.29029159311812969</c:v>
                </c:pt>
                <c:pt idx="19">
                  <c:v>0.3129326157353241</c:v>
                </c:pt>
                <c:pt idx="20">
                  <c:v>0.33759270882799264</c:v>
                </c:pt>
                <c:pt idx="21">
                  <c:v>0.3646475263386672</c:v>
                </c:pt>
                <c:pt idx="22">
                  <c:v>0.37414722207253326</c:v>
                </c:pt>
                <c:pt idx="23">
                  <c:v>0.38394996807271908</c:v>
                </c:pt>
                <c:pt idx="24">
                  <c:v>0.38891075641721379</c:v>
                </c:pt>
                <c:pt idx="25">
                  <c:v>0.40511802528805074</c:v>
                </c:pt>
                <c:pt idx="26">
                  <c:v>0.41389364518696647</c:v>
                </c:pt>
                <c:pt idx="27">
                  <c:v>0.42369854589951117</c:v>
                </c:pt>
                <c:pt idx="28">
                  <c:v>0.43878653186361771</c:v>
                </c:pt>
                <c:pt idx="29">
                  <c:v>0.45225818878363377</c:v>
                </c:pt>
                <c:pt idx="30">
                  <c:v>0.46402203612133186</c:v>
                </c:pt>
                <c:pt idx="31">
                  <c:v>0.46185677565476857</c:v>
                </c:pt>
                <c:pt idx="32">
                  <c:v>0.47359490017270817</c:v>
                </c:pt>
                <c:pt idx="33">
                  <c:v>0.47838599699520717</c:v>
                </c:pt>
                <c:pt idx="34">
                  <c:v>0.48514469704361401</c:v>
                </c:pt>
                <c:pt idx="35">
                  <c:v>0.49519581798963574</c:v>
                </c:pt>
                <c:pt idx="36">
                  <c:v>0.50253133706259823</c:v>
                </c:pt>
                <c:pt idx="37">
                  <c:v>0.49042527538699671</c:v>
                </c:pt>
                <c:pt idx="38">
                  <c:v>0.51632451816537095</c:v>
                </c:pt>
                <c:pt idx="39">
                  <c:v>0.52325620676489726</c:v>
                </c:pt>
                <c:pt idx="40">
                  <c:v>0.52506126530385788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F-B617-463F-BD36-3D2AFD7A46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8931968"/>
        <c:axId val="678931640"/>
      </c:lineChart>
      <c:dateAx>
        <c:axId val="874669968"/>
        <c:scaling>
          <c:orientation val="minMax"/>
        </c:scaling>
        <c:delete val="0"/>
        <c:axPos val="b"/>
        <c:numFmt formatCode="dd\ mmm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4672592"/>
        <c:crosses val="autoZero"/>
        <c:auto val="0"/>
        <c:lblOffset val="100"/>
        <c:baseTimeUnit val="days"/>
        <c:majorUnit val="1"/>
        <c:majorTimeUnit val="days"/>
        <c:minorUnit val="1"/>
      </c:dateAx>
      <c:valAx>
        <c:axId val="87467259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4669968"/>
        <c:crosses val="autoZero"/>
        <c:crossBetween val="between"/>
      </c:valAx>
      <c:valAx>
        <c:axId val="678931640"/>
        <c:scaling>
          <c:orientation val="minMax"/>
          <c:max val="0.75000000000000011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931968"/>
        <c:crosses val="max"/>
        <c:crossBetween val="between"/>
        <c:majorUnit val="5.000000000000001E-2"/>
      </c:valAx>
      <c:dateAx>
        <c:axId val="678931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78931640"/>
        <c:crosses val="autoZero"/>
        <c:auto val="1"/>
        <c:lblOffset val="100"/>
        <c:baseTimeUnit val="days"/>
        <c:majorUnit val="1"/>
        <c:minorUnit val="1"/>
      </c:dateAx>
      <c:spPr>
        <a:noFill/>
        <a:ln>
          <a:solidFill>
            <a:srgbClr val="A5A5A5">
              <a:alpha val="50196"/>
            </a:srgbClr>
          </a:solidFill>
        </a:ln>
        <a:effectLst/>
      </c:spPr>
    </c:plotArea>
    <c:legend>
      <c:legendPos val="b"/>
      <c:layout>
        <c:manualLayout>
          <c:xMode val="edge"/>
          <c:yMode val="edge"/>
          <c:x val="0"/>
          <c:y val="0.12979587983156782"/>
          <c:w val="0.27444539152515096"/>
          <c:h val="0.210731698106082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111874009061904E-2"/>
          <c:y val="0.3411563967348118"/>
          <c:w val="0.81910443490239304"/>
          <c:h val="0.52411587083724631"/>
        </c:manualLayout>
      </c:layout>
      <c:areaChart>
        <c:grouping val="standard"/>
        <c:varyColors val="0"/>
        <c:ser>
          <c:idx val="1"/>
          <c:order val="1"/>
          <c:tx>
            <c:strRef>
              <c:f>pm_chrt_data!$C$85</c:f>
              <c:strCache>
                <c:ptCount val="1"/>
                <c:pt idx="0">
                  <c:v> Booster eligible population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accent5">
                  <a:lumMod val="20000"/>
                  <a:lumOff val="80000"/>
                </a:schemeClr>
              </a:solidFill>
            </a:ln>
            <a:effectLst/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9EBA-419C-93A5-AD64E7838DD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9EBA-419C-93A5-AD64E7838DD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9EBA-419C-93A5-AD64E7838DD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9EBA-419C-93A5-AD64E7838DD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9EBA-419C-93A5-AD64E7838DD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9EBA-419C-93A5-AD64E7838DD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9EBA-419C-93A5-AD64E7838DD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9EBA-419C-93A5-AD64E7838DD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9EBA-419C-93A5-AD64E7838DD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9EBA-419C-93A5-AD64E7838DD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9EBA-419C-93A5-AD64E7838DD8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9EBA-419C-93A5-AD64E7838DD8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9EBA-419C-93A5-AD64E7838DD8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9EBA-419C-93A5-AD64E7838DD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9EBA-419C-93A5-AD64E7838DD8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9EBA-419C-93A5-AD64E7838DD8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9EBA-419C-93A5-AD64E7838DD8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9EBA-419C-93A5-AD64E7838DD8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9EBA-419C-93A5-AD64E7838DD8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9EBA-419C-93A5-AD64E7838DD8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9EBA-419C-93A5-AD64E7838DD8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9EBA-419C-93A5-AD64E7838DD8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9EBA-419C-93A5-AD64E7838DD8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9EBA-419C-93A5-AD64E7838DD8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9EBA-419C-93A5-AD64E7838DD8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9EBA-419C-93A5-AD64E7838DD8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9EBA-419C-93A5-AD64E7838DD8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9EBA-419C-93A5-AD64E7838DD8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9EBA-419C-93A5-AD64E7838DD8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9EBA-419C-93A5-AD64E7838DD8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9EBA-419C-93A5-AD64E7838DD8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9EF-4121-BDD9-25C093C14D89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9EF-4121-BDD9-25C093C14D89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4"/>
              <c:layout>
                <c:manualLayout>
                  <c:x val="-4.0986714817988323E-2"/>
                  <c:y val="-0.238532110091743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pm_chrt_data!$L$77:$AT$77</c:f>
              <c:numCache>
                <c:formatCode>m/d/yyyy</c:formatCode>
                <c:ptCount val="35"/>
                <c:pt idx="0">
                  <c:v>44459</c:v>
                </c:pt>
                <c:pt idx="1">
                  <c:v>44460</c:v>
                </c:pt>
                <c:pt idx="2">
                  <c:v>44461</c:v>
                </c:pt>
                <c:pt idx="3">
                  <c:v>44462</c:v>
                </c:pt>
                <c:pt idx="4">
                  <c:v>44463</c:v>
                </c:pt>
                <c:pt idx="5">
                  <c:v>44464</c:v>
                </c:pt>
                <c:pt idx="6">
                  <c:v>44465</c:v>
                </c:pt>
                <c:pt idx="7">
                  <c:v>44466</c:v>
                </c:pt>
                <c:pt idx="8">
                  <c:v>44467</c:v>
                </c:pt>
                <c:pt idx="9">
                  <c:v>44468</c:v>
                </c:pt>
                <c:pt idx="10">
                  <c:v>44469</c:v>
                </c:pt>
                <c:pt idx="11">
                  <c:v>44470</c:v>
                </c:pt>
                <c:pt idx="12">
                  <c:v>44471</c:v>
                </c:pt>
                <c:pt idx="13">
                  <c:v>44472</c:v>
                </c:pt>
                <c:pt idx="14">
                  <c:v>44473</c:v>
                </c:pt>
                <c:pt idx="15">
                  <c:v>44474</c:v>
                </c:pt>
                <c:pt idx="16">
                  <c:v>44475</c:v>
                </c:pt>
                <c:pt idx="17">
                  <c:v>44476</c:v>
                </c:pt>
                <c:pt idx="18">
                  <c:v>44477</c:v>
                </c:pt>
                <c:pt idx="19">
                  <c:v>44478</c:v>
                </c:pt>
                <c:pt idx="20">
                  <c:v>44479</c:v>
                </c:pt>
                <c:pt idx="21">
                  <c:v>44480</c:v>
                </c:pt>
                <c:pt idx="22">
                  <c:v>44481</c:v>
                </c:pt>
                <c:pt idx="23">
                  <c:v>44482</c:v>
                </c:pt>
                <c:pt idx="24">
                  <c:v>44483</c:v>
                </c:pt>
                <c:pt idx="25">
                  <c:v>44484</c:v>
                </c:pt>
                <c:pt idx="26">
                  <c:v>44485</c:v>
                </c:pt>
                <c:pt idx="27">
                  <c:v>44486</c:v>
                </c:pt>
                <c:pt idx="28">
                  <c:v>44487</c:v>
                </c:pt>
                <c:pt idx="29">
                  <c:v>44488</c:v>
                </c:pt>
                <c:pt idx="30">
                  <c:v>44489</c:v>
                </c:pt>
                <c:pt idx="31">
                  <c:v>44490</c:v>
                </c:pt>
                <c:pt idx="32">
                  <c:v>44491</c:v>
                </c:pt>
                <c:pt idx="33">
                  <c:v>44492</c:v>
                </c:pt>
                <c:pt idx="34">
                  <c:v>44493</c:v>
                </c:pt>
              </c:numCache>
            </c:numRef>
          </c:cat>
          <c:val>
            <c:numRef>
              <c:f>pm_chrt_data!$L$85:$AT$85</c:f>
              <c:numCache>
                <c:formatCode>General</c:formatCode>
                <c:ptCount val="35"/>
                <c:pt idx="0">
                  <c:v>322338</c:v>
                </c:pt>
                <c:pt idx="1">
                  <c:v>360843</c:v>
                </c:pt>
                <c:pt idx="2">
                  <c:v>395930</c:v>
                </c:pt>
                <c:pt idx="3">
                  <c:v>360873</c:v>
                </c:pt>
                <c:pt idx="4">
                  <c:v>395950</c:v>
                </c:pt>
                <c:pt idx="5">
                  <c:v>432741</c:v>
                </c:pt>
                <c:pt idx="6">
                  <c:v>447552</c:v>
                </c:pt>
                <c:pt idx="7">
                  <c:v>465655</c:v>
                </c:pt>
                <c:pt idx="8">
                  <c:v>501268</c:v>
                </c:pt>
                <c:pt idx="9">
                  <c:v>551144</c:v>
                </c:pt>
                <c:pt idx="10">
                  <c:v>606733</c:v>
                </c:pt>
                <c:pt idx="11">
                  <c:v>636972</c:v>
                </c:pt>
                <c:pt idx="12">
                  <c:v>659995</c:v>
                </c:pt>
                <c:pt idx="13">
                  <c:v>662395</c:v>
                </c:pt>
                <c:pt idx="14">
                  <c:v>667547</c:v>
                </c:pt>
                <c:pt idx="15">
                  <c:v>687867</c:v>
                </c:pt>
                <c:pt idx="16">
                  <c:v>742280</c:v>
                </c:pt>
                <c:pt idx="17">
                  <c:v>798690</c:v>
                </c:pt>
                <c:pt idx="18">
                  <c:v>858706</c:v>
                </c:pt>
                <c:pt idx="19">
                  <c:v>926920</c:v>
                </c:pt>
                <c:pt idx="20">
                  <c:v>947282</c:v>
                </c:pt>
                <c:pt idx="21">
                  <c:v>965958</c:v>
                </c:pt>
                <c:pt idx="22">
                  <c:v>997109</c:v>
                </c:pt>
                <c:pt idx="23">
                  <c:v>1033151</c:v>
                </c:pt>
                <c:pt idx="24">
                  <c:v>1081134</c:v>
                </c:pt>
                <c:pt idx="25">
                  <c:v>1148841</c:v>
                </c:pt>
                <c:pt idx="26">
                  <c:v>1225767</c:v>
                </c:pt>
                <c:pt idx="27">
                  <c:v>1253331</c:v>
                </c:pt>
                <c:pt idx="28">
                  <c:v>1281125</c:v>
                </c:pt>
                <c:pt idx="29">
                  <c:v>1321661</c:v>
                </c:pt>
                <c:pt idx="30">
                  <c:v>1370422</c:v>
                </c:pt>
                <c:pt idx="31">
                  <c:v>1484638</c:v>
                </c:pt>
                <c:pt idx="32">
                  <c:v>1484638</c:v>
                </c:pt>
                <c:pt idx="33">
                  <c:v>1568893</c:v>
                </c:pt>
                <c:pt idx="34">
                  <c:v>1604089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A-419C-93A5-AD64E7838DD8}"/>
            </c:ext>
          </c:extLst>
        </c:ser>
        <c:ser>
          <c:idx val="2"/>
          <c:order val="2"/>
          <c:tx>
            <c:strRef>
              <c:f>pm_chrt_data!$C$86</c:f>
              <c:strCache>
                <c:ptCount val="1"/>
                <c:pt idx="0">
                  <c:v> Cumulative booster events 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9EBA-419C-93A5-AD64E7838DD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9EBA-419C-93A5-AD64E7838DD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EBA-419C-93A5-AD64E7838DD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EBA-419C-93A5-AD64E7838DD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EBA-419C-93A5-AD64E7838DD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EBA-419C-93A5-AD64E7838DD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EBA-419C-93A5-AD64E7838DD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EBA-419C-93A5-AD64E7838DD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EBA-419C-93A5-AD64E7838DD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EBA-419C-93A5-AD64E7838DD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EBA-419C-93A5-AD64E7838DD8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EBA-419C-93A5-AD64E7838DD8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EBA-419C-93A5-AD64E7838DD8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EBA-419C-93A5-AD64E7838DD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EBA-419C-93A5-AD64E7838DD8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EBA-419C-93A5-AD64E7838DD8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EBA-419C-93A5-AD64E7838DD8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BA-419C-93A5-AD64E7838DD8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EBA-419C-93A5-AD64E7838DD8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EBA-419C-93A5-AD64E7838DD8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BA-419C-93A5-AD64E7838DD8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EBA-419C-93A5-AD64E7838DD8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BA-419C-93A5-AD64E7838DD8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EBA-419C-93A5-AD64E7838DD8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BA-419C-93A5-AD64E7838DD8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EBA-419C-93A5-AD64E7838DD8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BA-419C-93A5-AD64E7838DD8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BA-419C-93A5-AD64E7838DD8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BA-419C-93A5-AD64E7838DD8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BA-419C-93A5-AD64E7838DD8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9EBA-419C-93A5-AD64E7838DD8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EF-4121-BDD9-25C093C14D89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EF-4121-BDD9-25C093C14D89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4"/>
              <c:layout>
                <c:manualLayout>
                  <c:x val="-3.6432635393767399E-2"/>
                  <c:y val="-0.132110091743119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pm_chrt_data!$L$77:$AT$77</c:f>
              <c:numCache>
                <c:formatCode>m/d/yyyy</c:formatCode>
                <c:ptCount val="35"/>
                <c:pt idx="0">
                  <c:v>44459</c:v>
                </c:pt>
                <c:pt idx="1">
                  <c:v>44460</c:v>
                </c:pt>
                <c:pt idx="2">
                  <c:v>44461</c:v>
                </c:pt>
                <c:pt idx="3">
                  <c:v>44462</c:v>
                </c:pt>
                <c:pt idx="4">
                  <c:v>44463</c:v>
                </c:pt>
                <c:pt idx="5">
                  <c:v>44464</c:v>
                </c:pt>
                <c:pt idx="6">
                  <c:v>44465</c:v>
                </c:pt>
                <c:pt idx="7">
                  <c:v>44466</c:v>
                </c:pt>
                <c:pt idx="8">
                  <c:v>44467</c:v>
                </c:pt>
                <c:pt idx="9">
                  <c:v>44468</c:v>
                </c:pt>
                <c:pt idx="10">
                  <c:v>44469</c:v>
                </c:pt>
                <c:pt idx="11">
                  <c:v>44470</c:v>
                </c:pt>
                <c:pt idx="12">
                  <c:v>44471</c:v>
                </c:pt>
                <c:pt idx="13">
                  <c:v>44472</c:v>
                </c:pt>
                <c:pt idx="14">
                  <c:v>44473</c:v>
                </c:pt>
                <c:pt idx="15">
                  <c:v>44474</c:v>
                </c:pt>
                <c:pt idx="16">
                  <c:v>44475</c:v>
                </c:pt>
                <c:pt idx="17">
                  <c:v>44476</c:v>
                </c:pt>
                <c:pt idx="18">
                  <c:v>44477</c:v>
                </c:pt>
                <c:pt idx="19">
                  <c:v>44478</c:v>
                </c:pt>
                <c:pt idx="20">
                  <c:v>44479</c:v>
                </c:pt>
                <c:pt idx="21">
                  <c:v>44480</c:v>
                </c:pt>
                <c:pt idx="22">
                  <c:v>44481</c:v>
                </c:pt>
                <c:pt idx="23">
                  <c:v>44482</c:v>
                </c:pt>
                <c:pt idx="24">
                  <c:v>44483</c:v>
                </c:pt>
                <c:pt idx="25">
                  <c:v>44484</c:v>
                </c:pt>
                <c:pt idx="26">
                  <c:v>44485</c:v>
                </c:pt>
                <c:pt idx="27">
                  <c:v>44486</c:v>
                </c:pt>
                <c:pt idx="28">
                  <c:v>44487</c:v>
                </c:pt>
                <c:pt idx="29">
                  <c:v>44488</c:v>
                </c:pt>
                <c:pt idx="30">
                  <c:v>44489</c:v>
                </c:pt>
                <c:pt idx="31">
                  <c:v>44490</c:v>
                </c:pt>
                <c:pt idx="32">
                  <c:v>44491</c:v>
                </c:pt>
                <c:pt idx="33">
                  <c:v>44492</c:v>
                </c:pt>
                <c:pt idx="34">
                  <c:v>44493</c:v>
                </c:pt>
              </c:numCache>
            </c:numRef>
          </c:cat>
          <c:val>
            <c:numRef>
              <c:f>pm_chrt_data!$L$86:$AT$86</c:f>
              <c:numCache>
                <c:formatCode>0</c:formatCode>
                <c:ptCount val="35"/>
                <c:pt idx="0">
                  <c:v>3704</c:v>
                </c:pt>
                <c:pt idx="1">
                  <c:v>5643</c:v>
                </c:pt>
                <c:pt idx="2">
                  <c:v>11701</c:v>
                </c:pt>
                <c:pt idx="3">
                  <c:v>20310</c:v>
                </c:pt>
                <c:pt idx="4">
                  <c:v>32831</c:v>
                </c:pt>
                <c:pt idx="5">
                  <c:v>48899</c:v>
                </c:pt>
                <c:pt idx="6">
                  <c:v>57085</c:v>
                </c:pt>
                <c:pt idx="7">
                  <c:v>68221</c:v>
                </c:pt>
                <c:pt idx="8">
                  <c:v>84908</c:v>
                </c:pt>
                <c:pt idx="9">
                  <c:v>102076</c:v>
                </c:pt>
                <c:pt idx="10">
                  <c:v>125499</c:v>
                </c:pt>
                <c:pt idx="11">
                  <c:v>152173</c:v>
                </c:pt>
                <c:pt idx="12">
                  <c:v>191591</c:v>
                </c:pt>
                <c:pt idx="13">
                  <c:v>207285</c:v>
                </c:pt>
                <c:pt idx="14">
                  <c:v>225359</c:v>
                </c:pt>
                <c:pt idx="15">
                  <c:v>250829</c:v>
                </c:pt>
                <c:pt idx="16">
                  <c:v>277722</c:v>
                </c:pt>
                <c:pt idx="17">
                  <c:v>306657</c:v>
                </c:pt>
                <c:pt idx="18">
                  <c:v>333960</c:v>
                </c:pt>
                <c:pt idx="19">
                  <c:v>375512</c:v>
                </c:pt>
                <c:pt idx="20">
                  <c:v>392074</c:v>
                </c:pt>
                <c:pt idx="21">
                  <c:v>409275</c:v>
                </c:pt>
                <c:pt idx="22">
                  <c:v>437518</c:v>
                </c:pt>
                <c:pt idx="23">
                  <c:v>467251</c:v>
                </c:pt>
                <c:pt idx="24">
                  <c:v>501670</c:v>
                </c:pt>
                <c:pt idx="25">
                  <c:v>530600</c:v>
                </c:pt>
                <c:pt idx="26">
                  <c:v>580517</c:v>
                </c:pt>
                <c:pt idx="27">
                  <c:v>599576</c:v>
                </c:pt>
                <c:pt idx="28">
                  <c:v>621531</c:v>
                </c:pt>
                <c:pt idx="29">
                  <c:v>654481</c:v>
                </c:pt>
                <c:pt idx="30">
                  <c:v>688680</c:v>
                </c:pt>
                <c:pt idx="31">
                  <c:v>728104</c:v>
                </c:pt>
                <c:pt idx="32">
                  <c:v>766555</c:v>
                </c:pt>
                <c:pt idx="33">
                  <c:v>820933</c:v>
                </c:pt>
                <c:pt idx="34">
                  <c:v>842245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A-419C-93A5-AD64E7838D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079320"/>
        <c:axId val="487071120"/>
      </c:areaChart>
      <c:lineChart>
        <c:grouping val="standard"/>
        <c:varyColors val="0"/>
        <c:ser>
          <c:idx val="0"/>
          <c:order val="0"/>
          <c:tx>
            <c:strRef>
              <c:f>pm_chrt_data!$C$78</c:f>
              <c:strCache>
                <c:ptCount val="1"/>
                <c:pt idx="0">
                  <c:v>Booster penetration (right axis)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Lbls>
            <c:dLbl>
              <c:idx val="34"/>
              <c:layout>
                <c:manualLayout>
                  <c:x val="-7.7419350211755722E-2"/>
                  <c:y val="-3.6697247706422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pm_chrt_data!$L$77:$AT$77</c:f>
              <c:numCache>
                <c:formatCode>m/d/yyyy</c:formatCode>
                <c:ptCount val="35"/>
                <c:pt idx="0">
                  <c:v>44459</c:v>
                </c:pt>
                <c:pt idx="1">
                  <c:v>44460</c:v>
                </c:pt>
                <c:pt idx="2">
                  <c:v>44461</c:v>
                </c:pt>
                <c:pt idx="3">
                  <c:v>44462</c:v>
                </c:pt>
                <c:pt idx="4">
                  <c:v>44463</c:v>
                </c:pt>
                <c:pt idx="5">
                  <c:v>44464</c:v>
                </c:pt>
                <c:pt idx="6">
                  <c:v>44465</c:v>
                </c:pt>
                <c:pt idx="7">
                  <c:v>44466</c:v>
                </c:pt>
                <c:pt idx="8">
                  <c:v>44467</c:v>
                </c:pt>
                <c:pt idx="9">
                  <c:v>44468</c:v>
                </c:pt>
                <c:pt idx="10">
                  <c:v>44469</c:v>
                </c:pt>
                <c:pt idx="11">
                  <c:v>44470</c:v>
                </c:pt>
                <c:pt idx="12">
                  <c:v>44471</c:v>
                </c:pt>
                <c:pt idx="13">
                  <c:v>44472</c:v>
                </c:pt>
                <c:pt idx="14">
                  <c:v>44473</c:v>
                </c:pt>
                <c:pt idx="15">
                  <c:v>44474</c:v>
                </c:pt>
                <c:pt idx="16">
                  <c:v>44475</c:v>
                </c:pt>
                <c:pt idx="17">
                  <c:v>44476</c:v>
                </c:pt>
                <c:pt idx="18">
                  <c:v>44477</c:v>
                </c:pt>
                <c:pt idx="19">
                  <c:v>44478</c:v>
                </c:pt>
                <c:pt idx="20">
                  <c:v>44479</c:v>
                </c:pt>
                <c:pt idx="21">
                  <c:v>44480</c:v>
                </c:pt>
                <c:pt idx="22">
                  <c:v>44481</c:v>
                </c:pt>
                <c:pt idx="23">
                  <c:v>44482</c:v>
                </c:pt>
                <c:pt idx="24">
                  <c:v>44483</c:v>
                </c:pt>
                <c:pt idx="25">
                  <c:v>44484</c:v>
                </c:pt>
                <c:pt idx="26">
                  <c:v>44485</c:v>
                </c:pt>
                <c:pt idx="27">
                  <c:v>44486</c:v>
                </c:pt>
                <c:pt idx="28">
                  <c:v>44487</c:v>
                </c:pt>
                <c:pt idx="29">
                  <c:v>44488</c:v>
                </c:pt>
                <c:pt idx="30">
                  <c:v>44489</c:v>
                </c:pt>
                <c:pt idx="31">
                  <c:v>44490</c:v>
                </c:pt>
                <c:pt idx="32">
                  <c:v>44491</c:v>
                </c:pt>
                <c:pt idx="33">
                  <c:v>44492</c:v>
                </c:pt>
                <c:pt idx="34">
                  <c:v>44493</c:v>
                </c:pt>
              </c:numCache>
            </c:numRef>
          </c:cat>
          <c:val>
            <c:numRef>
              <c:f>pm_chrt_data!$L$78:$AT$78</c:f>
              <c:numCache>
                <c:formatCode>0.0%</c:formatCode>
                <c:ptCount val="35"/>
                <c:pt idx="0">
                  <c:v>1.1491043562968064E-2</c:v>
                </c:pt>
                <c:pt idx="1">
                  <c:v>1.5638380126537024E-2</c:v>
                </c:pt>
                <c:pt idx="2">
                  <c:v>2.9553203849165256E-2</c:v>
                </c:pt>
                <c:pt idx="3">
                  <c:v>5.6280187212675928E-2</c:v>
                </c:pt>
                <c:pt idx="4">
                  <c:v>8.2917034979164042E-2</c:v>
                </c:pt>
                <c:pt idx="5">
                  <c:v>0.11299830614617057</c:v>
                </c:pt>
                <c:pt idx="6">
                  <c:v>0.12754942442442443</c:v>
                </c:pt>
                <c:pt idx="7">
                  <c:v>0.14650546005089604</c:v>
                </c:pt>
                <c:pt idx="8">
                  <c:v>0.1693864359983083</c:v>
                </c:pt>
                <c:pt idx="9">
                  <c:v>0.18520749568170933</c:v>
                </c:pt>
                <c:pt idx="10">
                  <c:v>0.20684386707167732</c:v>
                </c:pt>
                <c:pt idx="11">
                  <c:v>0.23890061101586882</c:v>
                </c:pt>
                <c:pt idx="12">
                  <c:v>0.29029159311812969</c:v>
                </c:pt>
                <c:pt idx="13">
                  <c:v>0.3129326157353241</c:v>
                </c:pt>
                <c:pt idx="14">
                  <c:v>0.33759270882799264</c:v>
                </c:pt>
                <c:pt idx="15">
                  <c:v>0.3646475263386672</c:v>
                </c:pt>
                <c:pt idx="16">
                  <c:v>0.37414722207253326</c:v>
                </c:pt>
                <c:pt idx="17">
                  <c:v>0.38394996807271908</c:v>
                </c:pt>
                <c:pt idx="18">
                  <c:v>0.38891075641721379</c:v>
                </c:pt>
                <c:pt idx="19">
                  <c:v>0.40511802528805074</c:v>
                </c:pt>
                <c:pt idx="20">
                  <c:v>0.41389364518696647</c:v>
                </c:pt>
                <c:pt idx="21">
                  <c:v>0.42369854589951117</c:v>
                </c:pt>
                <c:pt idx="22">
                  <c:v>0.43878653186361771</c:v>
                </c:pt>
                <c:pt idx="23">
                  <c:v>0.45225818878363377</c:v>
                </c:pt>
                <c:pt idx="24">
                  <c:v>0.46402203612133186</c:v>
                </c:pt>
                <c:pt idx="25">
                  <c:v>0.46185677565476857</c:v>
                </c:pt>
                <c:pt idx="26">
                  <c:v>0.47359490017270817</c:v>
                </c:pt>
                <c:pt idx="27">
                  <c:v>0.47838599699520717</c:v>
                </c:pt>
                <c:pt idx="28">
                  <c:v>0.48514469704361401</c:v>
                </c:pt>
                <c:pt idx="29">
                  <c:v>0.49519581798963574</c:v>
                </c:pt>
                <c:pt idx="30">
                  <c:v>0.50253133706259823</c:v>
                </c:pt>
                <c:pt idx="31">
                  <c:v>0.49042527538699671</c:v>
                </c:pt>
                <c:pt idx="32">
                  <c:v>0.51632451816537095</c:v>
                </c:pt>
                <c:pt idx="33">
                  <c:v>0.52325620676489726</c:v>
                </c:pt>
                <c:pt idx="34">
                  <c:v>0.52506126530385788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BA-419C-93A5-AD64E7838D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2975848"/>
        <c:axId val="1882975520"/>
      </c:lineChart>
      <c:dateAx>
        <c:axId val="487079320"/>
        <c:scaling>
          <c:orientation val="minMax"/>
        </c:scaling>
        <c:delete val="0"/>
        <c:axPos val="b"/>
        <c:numFmt formatCode="dd\ mmm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071120"/>
        <c:crosses val="autoZero"/>
        <c:auto val="1"/>
        <c:lblOffset val="100"/>
        <c:baseTimeUnit val="days"/>
      </c:dateAx>
      <c:valAx>
        <c:axId val="487071120"/>
        <c:scaling>
          <c:orientation val="minMax"/>
        </c:scaling>
        <c:delete val="0"/>
        <c:axPos val="l"/>
        <c:numFmt formatCode="#,###,###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079320"/>
        <c:crosses val="autoZero"/>
        <c:crossBetween val="between"/>
      </c:valAx>
      <c:valAx>
        <c:axId val="1882975520"/>
        <c:scaling>
          <c:orientation val="minMax"/>
          <c:max val="0.7500000000000001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2975848"/>
        <c:crosses val="max"/>
        <c:crossBetween val="between"/>
      </c:valAx>
      <c:dateAx>
        <c:axId val="188297584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882975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133120761815046E-3"/>
          <c:y val="7.739449541284403E-2"/>
          <c:w val="0.33529409760826562"/>
          <c:h val="0.212385754532976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Booster Eligible Population growth since 20/09/2021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PM_Pop_Data!$B$3</c:f>
              <c:strCache>
                <c:ptCount val="1"/>
                <c:pt idx="0">
                  <c:v>Buckinghamshire, Oxfordshire and Berkshire West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PM_Pop_Data!$C$2:$AM$2</c15:sqref>
                  </c15:fullRef>
                </c:ext>
              </c:extLst>
              <c:f>PM_Pop_Data!$J$2:$AM$2</c:f>
              <c:numCache>
                <c:formatCode>m/d/yyyy</c:formatCode>
                <c:ptCount val="30"/>
                <c:pt idx="0">
                  <c:v>44459</c:v>
                </c:pt>
                <c:pt idx="1">
                  <c:v>44460</c:v>
                </c:pt>
                <c:pt idx="2">
                  <c:v>44461</c:v>
                </c:pt>
                <c:pt idx="3">
                  <c:v>44462</c:v>
                </c:pt>
                <c:pt idx="4">
                  <c:v>44463</c:v>
                </c:pt>
                <c:pt idx="5">
                  <c:v>44464</c:v>
                </c:pt>
                <c:pt idx="6">
                  <c:v>44465</c:v>
                </c:pt>
                <c:pt idx="7">
                  <c:v>44466</c:v>
                </c:pt>
                <c:pt idx="8">
                  <c:v>44467</c:v>
                </c:pt>
                <c:pt idx="9">
                  <c:v>44468</c:v>
                </c:pt>
                <c:pt idx="10">
                  <c:v>44469</c:v>
                </c:pt>
                <c:pt idx="11">
                  <c:v>44470</c:v>
                </c:pt>
                <c:pt idx="12">
                  <c:v>44471</c:v>
                </c:pt>
                <c:pt idx="13">
                  <c:v>44472</c:v>
                </c:pt>
                <c:pt idx="14">
                  <c:v>44473</c:v>
                </c:pt>
                <c:pt idx="15">
                  <c:v>44474</c:v>
                </c:pt>
                <c:pt idx="16">
                  <c:v>44475</c:v>
                </c:pt>
                <c:pt idx="17">
                  <c:v>44476</c:v>
                </c:pt>
                <c:pt idx="18">
                  <c:v>44477</c:v>
                </c:pt>
                <c:pt idx="19">
                  <c:v>44478</c:v>
                </c:pt>
                <c:pt idx="20">
                  <c:v>44479</c:v>
                </c:pt>
                <c:pt idx="21">
                  <c:v>44480</c:v>
                </c:pt>
                <c:pt idx="22">
                  <c:v>44481</c:v>
                </c:pt>
                <c:pt idx="23">
                  <c:v>44482</c:v>
                </c:pt>
                <c:pt idx="24">
                  <c:v>44483</c:v>
                </c:pt>
                <c:pt idx="25">
                  <c:v>44484</c:v>
                </c:pt>
                <c:pt idx="26">
                  <c:v>44485</c:v>
                </c:pt>
                <c:pt idx="27">
                  <c:v>44486</c:v>
                </c:pt>
                <c:pt idx="28">
                  <c:v>44487</c:v>
                </c:pt>
                <c:pt idx="29">
                  <c:v>44488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PM_Pop_Data!$C$3:$AM$3</c15:sqref>
                  </c15:fullRef>
                </c:ext>
              </c:extLst>
              <c:f>PM_Pop_Data!$J$3:$AM$3</c:f>
              <c:numCache>
                <c:formatCode>0</c:formatCode>
                <c:ptCount val="30"/>
                <c:pt idx="0" formatCode="_(* #,##0_);_(* \(#,##0\);_(* &quot;-&quot;??_);_(@_)">
                  <c:v>51650</c:v>
                </c:pt>
                <c:pt idx="1" formatCode="_(* #,##0_);_(* \(#,##0\);_(* &quot;-&quot;??_);_(@_)">
                  <c:v>58151</c:v>
                </c:pt>
                <c:pt idx="2" formatCode="_(* #,##0_);_(* \(#,##0\);_(* &quot;-&quot;??_);_(@_)">
                  <c:v>67370</c:v>
                </c:pt>
                <c:pt idx="3" formatCode="_(* #,##0_);_(* \(#,##0\);_(* &quot;-&quot;??_);_(@_)">
                  <c:v>58156</c:v>
                </c:pt>
                <c:pt idx="4" formatCode="_(* #,##0_);_(* \(#,##0\);_(* &quot;-&quot;??_);_(@_)">
                  <c:v>67369</c:v>
                </c:pt>
                <c:pt idx="5" formatCode="_(* #,##0_);_(* \(#,##0\);_(* &quot;-&quot;??_);_(@_)">
                  <c:v>75048</c:v>
                </c:pt>
                <c:pt idx="6" formatCode="_(* #,##0_);_(* \(#,##0\);_(* &quot;-&quot;??_);_(@_)">
                  <c:v>77201</c:v>
                </c:pt>
                <c:pt idx="7" formatCode="_(* #,##0_);_(* \(#,##0\);_(* &quot;-&quot;??_);_(@_)">
                  <c:v>78443</c:v>
                </c:pt>
                <c:pt idx="8" formatCode="_(* #,##0_);_(* \(#,##0\);_(* &quot;-&quot;??_);_(@_)">
                  <c:v>84434</c:v>
                </c:pt>
                <c:pt idx="9" formatCode="_(* #,##0_);_(* \(#,##0\);_(* &quot;-&quot;??_);_(@_)">
                  <c:v>93980</c:v>
                </c:pt>
                <c:pt idx="10" formatCode="_(* #,##0_);_(* \(#,##0\);_(* &quot;-&quot;??_);_(@_)">
                  <c:v>105419</c:v>
                </c:pt>
                <c:pt idx="11" formatCode="_(* #,##0_);_(* \(#,##0\);_(* &quot;-&quot;??_);_(@_)">
                  <c:v>112460</c:v>
                </c:pt>
                <c:pt idx="12" formatCode="_(* #,##0_);_(* \(#,##0\);_(* &quot;-&quot;??_);_(@_)">
                  <c:v>117378</c:v>
                </c:pt>
                <c:pt idx="13" formatCode="_(* #,##0_);_(* \(#,##0\);_(* &quot;-&quot;??_);_(@_)">
                  <c:v>117848</c:v>
                </c:pt>
                <c:pt idx="14" formatCode="_(* #,##0_);_(* \(#,##0\);_(* &quot;-&quot;??_);_(@_)">
                  <c:v>119325</c:v>
                </c:pt>
                <c:pt idx="15" formatCode="_(* #,##0_);_(* \(#,##0\);_(* &quot;-&quot;??_);_(@_)">
                  <c:v>121123</c:v>
                </c:pt>
                <c:pt idx="16" formatCode="_(* #,##0_);_(* \(#,##0\);_(* &quot;-&quot;??_);_(@_)">
                  <c:v>131592</c:v>
                </c:pt>
                <c:pt idx="17" formatCode="_(* #,##0_);_(* \(#,##0\);_(* &quot;-&quot;??_);_(@_)">
                  <c:v>142108</c:v>
                </c:pt>
                <c:pt idx="18" formatCode="_(* #,##0_);_(* \(#,##0\);_(* &quot;-&quot;??_);_(@_)">
                  <c:v>158551</c:v>
                </c:pt>
                <c:pt idx="19" formatCode="_(* #,##0_);_(* \(#,##0\);_(* &quot;-&quot;??_);_(@_)">
                  <c:v>171371</c:v>
                </c:pt>
                <c:pt idx="20" formatCode="_(* #,##0_);_(* \(#,##0\);_(* &quot;-&quot;??_);_(@_)">
                  <c:v>174152</c:v>
                </c:pt>
                <c:pt idx="21" formatCode="_(* #,##0_);_(* \(#,##0\);_(* &quot;-&quot;??_);_(@_)">
                  <c:v>178082</c:v>
                </c:pt>
                <c:pt idx="22" formatCode="_(* #,##0_);_(* \(#,##0\);_(* &quot;-&quot;??_);_(@_)">
                  <c:v>182374</c:v>
                </c:pt>
                <c:pt idx="23" formatCode="_(* #,##0_);_(* \(#,##0\);_(* &quot;-&quot;??_);_(@_)">
                  <c:v>190125</c:v>
                </c:pt>
                <c:pt idx="24" formatCode="_(* #,##0_);_(* \(#,##0\);_(* &quot;-&quot;??_);_(@_)">
                  <c:v>196769</c:v>
                </c:pt>
                <c:pt idx="25" formatCode="_(* #,##0_);_(* \(#,##0\);_(* &quot;-&quot;??_);_(@_)">
                  <c:v>210500</c:v>
                </c:pt>
                <c:pt idx="26" formatCode="_(* #,##0_);_(* \(#,##0\);_(* &quot;-&quot;??_);_(@_)">
                  <c:v>223491</c:v>
                </c:pt>
                <c:pt idx="27" formatCode="_(* #,##0_);_(* \(#,##0\);_(* &quot;-&quot;??_);_(@_)">
                  <c:v>225489</c:v>
                </c:pt>
                <c:pt idx="28" formatCode="_(* #,##0_);_(* \(#,##0\);_(* &quot;-&quot;??_);_(@_)">
                  <c:v>229772</c:v>
                </c:pt>
                <c:pt idx="29" formatCode="_(* #,##0_);_(* \(#,##0\);_(* &quot;-&quot;??_);_(@_)">
                  <c:v>236255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FD-4BA3-97EA-FD6C918768E3}"/>
            </c:ext>
          </c:extLst>
        </c:ser>
        <c:ser>
          <c:idx val="1"/>
          <c:order val="1"/>
          <c:tx>
            <c:strRef>
              <c:f>PM_Pop_Data!$B$4</c:f>
              <c:strCache>
                <c:ptCount val="1"/>
                <c:pt idx="0">
                  <c:v>Frimley Health and Care ICS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PM_Pop_Data!$C$2:$AM$2</c15:sqref>
                  </c15:fullRef>
                </c:ext>
              </c:extLst>
              <c:f>PM_Pop_Data!$J$2:$AM$2</c:f>
              <c:numCache>
                <c:formatCode>m/d/yyyy</c:formatCode>
                <c:ptCount val="30"/>
                <c:pt idx="0">
                  <c:v>44459</c:v>
                </c:pt>
                <c:pt idx="1">
                  <c:v>44460</c:v>
                </c:pt>
                <c:pt idx="2">
                  <c:v>44461</c:v>
                </c:pt>
                <c:pt idx="3">
                  <c:v>44462</c:v>
                </c:pt>
                <c:pt idx="4">
                  <c:v>44463</c:v>
                </c:pt>
                <c:pt idx="5">
                  <c:v>44464</c:v>
                </c:pt>
                <c:pt idx="6">
                  <c:v>44465</c:v>
                </c:pt>
                <c:pt idx="7">
                  <c:v>44466</c:v>
                </c:pt>
                <c:pt idx="8">
                  <c:v>44467</c:v>
                </c:pt>
                <c:pt idx="9">
                  <c:v>44468</c:v>
                </c:pt>
                <c:pt idx="10">
                  <c:v>44469</c:v>
                </c:pt>
                <c:pt idx="11">
                  <c:v>44470</c:v>
                </c:pt>
                <c:pt idx="12">
                  <c:v>44471</c:v>
                </c:pt>
                <c:pt idx="13">
                  <c:v>44472</c:v>
                </c:pt>
                <c:pt idx="14">
                  <c:v>44473</c:v>
                </c:pt>
                <c:pt idx="15">
                  <c:v>44474</c:v>
                </c:pt>
                <c:pt idx="16">
                  <c:v>44475</c:v>
                </c:pt>
                <c:pt idx="17">
                  <c:v>44476</c:v>
                </c:pt>
                <c:pt idx="18">
                  <c:v>44477</c:v>
                </c:pt>
                <c:pt idx="19">
                  <c:v>44478</c:v>
                </c:pt>
                <c:pt idx="20">
                  <c:v>44479</c:v>
                </c:pt>
                <c:pt idx="21">
                  <c:v>44480</c:v>
                </c:pt>
                <c:pt idx="22">
                  <c:v>44481</c:v>
                </c:pt>
                <c:pt idx="23">
                  <c:v>44482</c:v>
                </c:pt>
                <c:pt idx="24">
                  <c:v>44483</c:v>
                </c:pt>
                <c:pt idx="25">
                  <c:v>44484</c:v>
                </c:pt>
                <c:pt idx="26">
                  <c:v>44485</c:v>
                </c:pt>
                <c:pt idx="27">
                  <c:v>44486</c:v>
                </c:pt>
                <c:pt idx="28">
                  <c:v>44487</c:v>
                </c:pt>
                <c:pt idx="29">
                  <c:v>44488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PM_Pop_Data!$C$4:$AM$4</c15:sqref>
                  </c15:fullRef>
                </c:ext>
              </c:extLst>
              <c:f>PM_Pop_Data!$J$4:$AM$4</c:f>
              <c:numCache>
                <c:formatCode>0</c:formatCode>
                <c:ptCount val="30"/>
                <c:pt idx="0" formatCode="_(* #,##0_);_(* \(#,##0\);_(* &quot;-&quot;??_);_(@_)">
                  <c:v>24188</c:v>
                </c:pt>
                <c:pt idx="1" formatCode="_(* #,##0_);_(* \(#,##0\);_(* &quot;-&quot;??_);_(@_)">
                  <c:v>28352</c:v>
                </c:pt>
                <c:pt idx="2" formatCode="_(* #,##0_);_(* \(#,##0\);_(* &quot;-&quot;??_);_(@_)">
                  <c:v>30789</c:v>
                </c:pt>
                <c:pt idx="3" formatCode="_(* #,##0_);_(* \(#,##0\);_(* &quot;-&quot;??_);_(@_)">
                  <c:v>28355</c:v>
                </c:pt>
                <c:pt idx="4" formatCode="_(* #,##0_);_(* \(#,##0\);_(* &quot;-&quot;??_);_(@_)">
                  <c:v>30793</c:v>
                </c:pt>
                <c:pt idx="5" formatCode="_(* #,##0_);_(* \(#,##0\);_(* &quot;-&quot;??_);_(@_)">
                  <c:v>32502</c:v>
                </c:pt>
                <c:pt idx="6" formatCode="_(* #,##0_);_(* \(#,##0\);_(* &quot;-&quot;??_);_(@_)">
                  <c:v>33552</c:v>
                </c:pt>
                <c:pt idx="7" formatCode="_(* #,##0_);_(* \(#,##0\);_(* &quot;-&quot;??_);_(@_)">
                  <c:v>34123</c:v>
                </c:pt>
                <c:pt idx="8" formatCode="_(* #,##0_);_(* \(#,##0\);_(* &quot;-&quot;??_);_(@_)">
                  <c:v>37695</c:v>
                </c:pt>
                <c:pt idx="9" formatCode="_(* #,##0_);_(* \(#,##0\);_(* &quot;-&quot;??_);_(@_)">
                  <c:v>42589</c:v>
                </c:pt>
                <c:pt idx="10" formatCode="_(* #,##0_);_(* \(#,##0\);_(* &quot;-&quot;??_);_(@_)">
                  <c:v>46941</c:v>
                </c:pt>
                <c:pt idx="11" formatCode="_(* #,##0_);_(* \(#,##0\);_(* &quot;-&quot;??_);_(@_)">
                  <c:v>48538</c:v>
                </c:pt>
                <c:pt idx="12" formatCode="_(* #,##0_);_(* \(#,##0\);_(* &quot;-&quot;??_);_(@_)">
                  <c:v>49538</c:v>
                </c:pt>
                <c:pt idx="13" formatCode="_(* #,##0_);_(* \(#,##0\);_(* &quot;-&quot;??_);_(@_)">
                  <c:v>49564</c:v>
                </c:pt>
                <c:pt idx="14" formatCode="_(* #,##0_);_(* \(#,##0\);_(* &quot;-&quot;??_);_(@_)">
                  <c:v>49950</c:v>
                </c:pt>
                <c:pt idx="15" formatCode="_(* #,##0_);_(* \(#,##0\);_(* &quot;-&quot;??_);_(@_)">
                  <c:v>52554</c:v>
                </c:pt>
                <c:pt idx="16" formatCode="_(* #,##0_);_(* \(#,##0\);_(* &quot;-&quot;??_);_(@_)">
                  <c:v>57428</c:v>
                </c:pt>
                <c:pt idx="17" formatCode="_(* #,##0_);_(* \(#,##0\);_(* &quot;-&quot;??_);_(@_)">
                  <c:v>61775</c:v>
                </c:pt>
                <c:pt idx="18" formatCode="_(* #,##0_);_(* \(#,##0\);_(* &quot;-&quot;??_);_(@_)">
                  <c:v>65835</c:v>
                </c:pt>
                <c:pt idx="19" formatCode="_(* #,##0_);_(* \(#,##0\);_(* &quot;-&quot;??_);_(@_)">
                  <c:v>70591</c:v>
                </c:pt>
                <c:pt idx="20" formatCode="_(* #,##0_);_(* \(#,##0\);_(* &quot;-&quot;??_);_(@_)">
                  <c:v>71461</c:v>
                </c:pt>
                <c:pt idx="21" formatCode="_(* #,##0_);_(* \(#,##0\);_(* &quot;-&quot;??_);_(@_)">
                  <c:v>72672</c:v>
                </c:pt>
                <c:pt idx="22" formatCode="_(* #,##0_);_(* \(#,##0\);_(* &quot;-&quot;??_);_(@_)">
                  <c:v>75139</c:v>
                </c:pt>
                <c:pt idx="23" formatCode="_(* #,##0_);_(* \(#,##0\);_(* &quot;-&quot;??_);_(@_)">
                  <c:v>78772</c:v>
                </c:pt>
                <c:pt idx="24" formatCode="_(* #,##0_);_(* \(#,##0\);_(* &quot;-&quot;??_);_(@_)">
                  <c:v>83167</c:v>
                </c:pt>
                <c:pt idx="25" formatCode="_(* #,##0_);_(* \(#,##0\);_(* &quot;-&quot;??_);_(@_)">
                  <c:v>87964</c:v>
                </c:pt>
                <c:pt idx="26" formatCode="_(* #,##0_);_(* \(#,##0\);_(* &quot;-&quot;??_);_(@_)">
                  <c:v>92823</c:v>
                </c:pt>
                <c:pt idx="27" formatCode="_(* #,##0_);_(* \(#,##0\);_(* &quot;-&quot;??_);_(@_)">
                  <c:v>93186</c:v>
                </c:pt>
                <c:pt idx="28" formatCode="_(* #,##0_);_(* \(#,##0\);_(* &quot;-&quot;??_);_(@_)">
                  <c:v>95117</c:v>
                </c:pt>
                <c:pt idx="29" formatCode="_(* #,##0_);_(* \(#,##0\);_(* &quot;-&quot;??_);_(@_)">
                  <c:v>97610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FD-4BA3-97EA-FD6C918768E3}"/>
            </c:ext>
          </c:extLst>
        </c:ser>
        <c:ser>
          <c:idx val="2"/>
          <c:order val="2"/>
          <c:tx>
            <c:strRef>
              <c:f>PM_Pop_Data!$B$5</c:f>
              <c:strCache>
                <c:ptCount val="1"/>
                <c:pt idx="0">
                  <c:v>Hampshire and the Isle of Wight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PM_Pop_Data!$C$2:$AM$2</c15:sqref>
                  </c15:fullRef>
                </c:ext>
              </c:extLst>
              <c:f>PM_Pop_Data!$J$2:$AM$2</c:f>
              <c:numCache>
                <c:formatCode>m/d/yyyy</c:formatCode>
                <c:ptCount val="30"/>
                <c:pt idx="0">
                  <c:v>44459</c:v>
                </c:pt>
                <c:pt idx="1">
                  <c:v>44460</c:v>
                </c:pt>
                <c:pt idx="2">
                  <c:v>44461</c:v>
                </c:pt>
                <c:pt idx="3">
                  <c:v>44462</c:v>
                </c:pt>
                <c:pt idx="4">
                  <c:v>44463</c:v>
                </c:pt>
                <c:pt idx="5">
                  <c:v>44464</c:v>
                </c:pt>
                <c:pt idx="6">
                  <c:v>44465</c:v>
                </c:pt>
                <c:pt idx="7">
                  <c:v>44466</c:v>
                </c:pt>
                <c:pt idx="8">
                  <c:v>44467</c:v>
                </c:pt>
                <c:pt idx="9">
                  <c:v>44468</c:v>
                </c:pt>
                <c:pt idx="10">
                  <c:v>44469</c:v>
                </c:pt>
                <c:pt idx="11">
                  <c:v>44470</c:v>
                </c:pt>
                <c:pt idx="12">
                  <c:v>44471</c:v>
                </c:pt>
                <c:pt idx="13">
                  <c:v>44472</c:v>
                </c:pt>
                <c:pt idx="14">
                  <c:v>44473</c:v>
                </c:pt>
                <c:pt idx="15">
                  <c:v>44474</c:v>
                </c:pt>
                <c:pt idx="16">
                  <c:v>44475</c:v>
                </c:pt>
                <c:pt idx="17">
                  <c:v>44476</c:v>
                </c:pt>
                <c:pt idx="18">
                  <c:v>44477</c:v>
                </c:pt>
                <c:pt idx="19">
                  <c:v>44478</c:v>
                </c:pt>
                <c:pt idx="20">
                  <c:v>44479</c:v>
                </c:pt>
                <c:pt idx="21">
                  <c:v>44480</c:v>
                </c:pt>
                <c:pt idx="22">
                  <c:v>44481</c:v>
                </c:pt>
                <c:pt idx="23">
                  <c:v>44482</c:v>
                </c:pt>
                <c:pt idx="24">
                  <c:v>44483</c:v>
                </c:pt>
                <c:pt idx="25">
                  <c:v>44484</c:v>
                </c:pt>
                <c:pt idx="26">
                  <c:v>44485</c:v>
                </c:pt>
                <c:pt idx="27">
                  <c:v>44486</c:v>
                </c:pt>
                <c:pt idx="28">
                  <c:v>44487</c:v>
                </c:pt>
                <c:pt idx="29">
                  <c:v>44488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PM_Pop_Data!$C$5:$AM$5</c15:sqref>
                  </c15:fullRef>
                </c:ext>
              </c:extLst>
              <c:f>PM_Pop_Data!$J$5:$AM$5</c:f>
              <c:numCache>
                <c:formatCode>0</c:formatCode>
                <c:ptCount val="30"/>
                <c:pt idx="0" formatCode="_(* #,##0_);_(* \(#,##0\);_(* &quot;-&quot;??_);_(@_)">
                  <c:v>79300</c:v>
                </c:pt>
                <c:pt idx="1" formatCode="_(* #,##0_);_(* \(#,##0\);_(* &quot;-&quot;??_);_(@_)">
                  <c:v>88514</c:v>
                </c:pt>
                <c:pt idx="2" formatCode="_(* #,##0_);_(* \(#,##0\);_(* &quot;-&quot;??_);_(@_)">
                  <c:v>95734</c:v>
                </c:pt>
                <c:pt idx="3" formatCode="_(* #,##0_);_(* \(#,##0\);_(* &quot;-&quot;??_);_(@_)">
                  <c:v>88518</c:v>
                </c:pt>
                <c:pt idx="4" formatCode="_(* #,##0_);_(* \(#,##0\);_(* &quot;-&quot;??_);_(@_)">
                  <c:v>95737</c:v>
                </c:pt>
                <c:pt idx="5" formatCode="_(* #,##0_);_(* \(#,##0\);_(* &quot;-&quot;??_);_(@_)">
                  <c:v>104449</c:v>
                </c:pt>
                <c:pt idx="6" formatCode="_(* #,##0_);_(* \(#,##0\);_(* &quot;-&quot;??_);_(@_)">
                  <c:v>107841</c:v>
                </c:pt>
                <c:pt idx="7" formatCode="_(* #,##0_);_(* \(#,##0\);_(* &quot;-&quot;??_);_(@_)">
                  <c:v>113767</c:v>
                </c:pt>
                <c:pt idx="8" formatCode="_(* #,##0_);_(* \(#,##0\);_(* &quot;-&quot;??_);_(@_)">
                  <c:v>121613</c:v>
                </c:pt>
                <c:pt idx="9" formatCode="_(* #,##0_);_(* \(#,##0\);_(* &quot;-&quot;??_);_(@_)">
                  <c:v>131763</c:v>
                </c:pt>
                <c:pt idx="10" formatCode="_(* #,##0_);_(* \(#,##0\);_(* &quot;-&quot;??_);_(@_)">
                  <c:v>142628</c:v>
                </c:pt>
                <c:pt idx="11" formatCode="_(* #,##0_);_(* \(#,##0\);_(* &quot;-&quot;??_);_(@_)">
                  <c:v>146202</c:v>
                </c:pt>
                <c:pt idx="12" formatCode="_(* #,##0_);_(* \(#,##0\);_(* &quot;-&quot;??_);_(@_)">
                  <c:v>150228</c:v>
                </c:pt>
                <c:pt idx="13" formatCode="_(* #,##0_);_(* \(#,##0\);_(* &quot;-&quot;??_);_(@_)">
                  <c:v>150889</c:v>
                </c:pt>
                <c:pt idx="14" formatCode="_(* #,##0_);_(* \(#,##0\);_(* &quot;-&quot;??_);_(@_)">
                  <c:v>152122</c:v>
                </c:pt>
                <c:pt idx="15" formatCode="_(* #,##0_);_(* \(#,##0\);_(* &quot;-&quot;??_);_(@_)">
                  <c:v>156284</c:v>
                </c:pt>
                <c:pt idx="16" formatCode="_(* #,##0_);_(* \(#,##0\);_(* &quot;-&quot;??_);_(@_)">
                  <c:v>164627</c:v>
                </c:pt>
                <c:pt idx="17" formatCode="_(* #,##0_);_(* \(#,##0\);_(* &quot;-&quot;??_);_(@_)">
                  <c:v>175690</c:v>
                </c:pt>
                <c:pt idx="18" formatCode="_(* #,##0_);_(* \(#,##0\);_(* &quot;-&quot;??_);_(@_)">
                  <c:v>185152</c:v>
                </c:pt>
                <c:pt idx="19" formatCode="_(* #,##0_);_(* \(#,##0\);_(* &quot;-&quot;??_);_(@_)">
                  <c:v>197503</c:v>
                </c:pt>
                <c:pt idx="20" formatCode="_(* #,##0_);_(* \(#,##0\);_(* &quot;-&quot;??_);_(@_)">
                  <c:v>198933</c:v>
                </c:pt>
                <c:pt idx="21" formatCode="_(* #,##0_);_(* \(#,##0\);_(* &quot;-&quot;??_);_(@_)">
                  <c:v>202794</c:v>
                </c:pt>
                <c:pt idx="22" formatCode="_(* #,##0_);_(* \(#,##0\);_(* &quot;-&quot;??_);_(@_)">
                  <c:v>208063</c:v>
                </c:pt>
                <c:pt idx="23" formatCode="_(* #,##0_);_(* \(#,##0\);_(* &quot;-&quot;??_);_(@_)">
                  <c:v>215223</c:v>
                </c:pt>
                <c:pt idx="24" formatCode="_(* #,##0_);_(* \(#,##0\);_(* &quot;-&quot;??_);_(@_)">
                  <c:v>222649</c:v>
                </c:pt>
                <c:pt idx="25" formatCode="_(* #,##0_);_(* \(#,##0\);_(* &quot;-&quot;??_);_(@_)">
                  <c:v>237303</c:v>
                </c:pt>
                <c:pt idx="26" formatCode="_(* #,##0_);_(* \(#,##0\);_(* &quot;-&quot;??_);_(@_)">
                  <c:v>254574</c:v>
                </c:pt>
                <c:pt idx="27" formatCode="_(* #,##0_);_(* \(#,##0\);_(* &quot;-&quot;??_);_(@_)">
                  <c:v>260678</c:v>
                </c:pt>
                <c:pt idx="28" formatCode="_(* #,##0_);_(* \(#,##0\);_(* &quot;-&quot;??_);_(@_)">
                  <c:v>265737</c:v>
                </c:pt>
                <c:pt idx="29" formatCode="_(* #,##0_);_(* \(#,##0\);_(* &quot;-&quot;??_);_(@_)">
                  <c:v>274021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FD-4BA3-97EA-FD6C918768E3}"/>
            </c:ext>
          </c:extLst>
        </c:ser>
        <c:ser>
          <c:idx val="3"/>
          <c:order val="3"/>
          <c:tx>
            <c:strRef>
              <c:f>PM_Pop_Data!$B$6</c:f>
              <c:strCache>
                <c:ptCount val="1"/>
                <c:pt idx="0">
                  <c:v>Kent and Medway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PM_Pop_Data!$C$2:$AM$2</c15:sqref>
                  </c15:fullRef>
                </c:ext>
              </c:extLst>
              <c:f>PM_Pop_Data!$J$2:$AM$2</c:f>
              <c:numCache>
                <c:formatCode>m/d/yyyy</c:formatCode>
                <c:ptCount val="30"/>
                <c:pt idx="0">
                  <c:v>44459</c:v>
                </c:pt>
                <c:pt idx="1">
                  <c:v>44460</c:v>
                </c:pt>
                <c:pt idx="2">
                  <c:v>44461</c:v>
                </c:pt>
                <c:pt idx="3">
                  <c:v>44462</c:v>
                </c:pt>
                <c:pt idx="4">
                  <c:v>44463</c:v>
                </c:pt>
                <c:pt idx="5">
                  <c:v>44464</c:v>
                </c:pt>
                <c:pt idx="6">
                  <c:v>44465</c:v>
                </c:pt>
                <c:pt idx="7">
                  <c:v>44466</c:v>
                </c:pt>
                <c:pt idx="8">
                  <c:v>44467</c:v>
                </c:pt>
                <c:pt idx="9">
                  <c:v>44468</c:v>
                </c:pt>
                <c:pt idx="10">
                  <c:v>44469</c:v>
                </c:pt>
                <c:pt idx="11">
                  <c:v>44470</c:v>
                </c:pt>
                <c:pt idx="12">
                  <c:v>44471</c:v>
                </c:pt>
                <c:pt idx="13">
                  <c:v>44472</c:v>
                </c:pt>
                <c:pt idx="14">
                  <c:v>44473</c:v>
                </c:pt>
                <c:pt idx="15">
                  <c:v>44474</c:v>
                </c:pt>
                <c:pt idx="16">
                  <c:v>44475</c:v>
                </c:pt>
                <c:pt idx="17">
                  <c:v>44476</c:v>
                </c:pt>
                <c:pt idx="18">
                  <c:v>44477</c:v>
                </c:pt>
                <c:pt idx="19">
                  <c:v>44478</c:v>
                </c:pt>
                <c:pt idx="20">
                  <c:v>44479</c:v>
                </c:pt>
                <c:pt idx="21">
                  <c:v>44480</c:v>
                </c:pt>
                <c:pt idx="22">
                  <c:v>44481</c:v>
                </c:pt>
                <c:pt idx="23">
                  <c:v>44482</c:v>
                </c:pt>
                <c:pt idx="24">
                  <c:v>44483</c:v>
                </c:pt>
                <c:pt idx="25">
                  <c:v>44484</c:v>
                </c:pt>
                <c:pt idx="26">
                  <c:v>44485</c:v>
                </c:pt>
                <c:pt idx="27">
                  <c:v>44486</c:v>
                </c:pt>
                <c:pt idx="28">
                  <c:v>44487</c:v>
                </c:pt>
                <c:pt idx="29">
                  <c:v>44488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PM_Pop_Data!$C$6:$AM$6</c15:sqref>
                  </c15:fullRef>
                </c:ext>
              </c:extLst>
              <c:f>PM_Pop_Data!$J$6:$AM$6</c:f>
              <c:numCache>
                <c:formatCode>0</c:formatCode>
                <c:ptCount val="30"/>
                <c:pt idx="0" formatCode="_(* #,##0_);_(* \(#,##0\);_(* &quot;-&quot;??_);_(@_)">
                  <c:v>80042</c:v>
                </c:pt>
                <c:pt idx="1" formatCode="_(* #,##0_);_(* \(#,##0\);_(* &quot;-&quot;??_);_(@_)">
                  <c:v>88584</c:v>
                </c:pt>
                <c:pt idx="2" formatCode="_(* #,##0_);_(* \(#,##0\);_(* &quot;-&quot;??_);_(@_)">
                  <c:v>92880</c:v>
                </c:pt>
                <c:pt idx="3" formatCode="_(* #,##0_);_(* \(#,##0\);_(* &quot;-&quot;??_);_(@_)">
                  <c:v>88591</c:v>
                </c:pt>
                <c:pt idx="4" formatCode="_(* #,##0_);_(* \(#,##0\);_(* &quot;-&quot;??_);_(@_)">
                  <c:v>92886</c:v>
                </c:pt>
                <c:pt idx="5" formatCode="_(* #,##0_);_(* \(#,##0\);_(* &quot;-&quot;??_);_(@_)">
                  <c:v>100044</c:v>
                </c:pt>
                <c:pt idx="6" formatCode="_(* #,##0_);_(* \(#,##0\);_(* &quot;-&quot;??_);_(@_)">
                  <c:v>103007</c:v>
                </c:pt>
                <c:pt idx="7" formatCode="_(* #,##0_);_(* \(#,##0\);_(* &quot;-&quot;??_);_(@_)">
                  <c:v>106366</c:v>
                </c:pt>
                <c:pt idx="8" formatCode="_(* #,##0_);_(* \(#,##0\);_(* &quot;-&quot;??_);_(@_)">
                  <c:v>112783</c:v>
                </c:pt>
                <c:pt idx="9" formatCode="_(* #,##0_);_(* \(#,##0\);_(* &quot;-&quot;??_);_(@_)">
                  <c:v>119828</c:v>
                </c:pt>
                <c:pt idx="10" formatCode="_(* #,##0_);_(* \(#,##0\);_(* &quot;-&quot;??_);_(@_)">
                  <c:v>130140</c:v>
                </c:pt>
                <c:pt idx="11" formatCode="_(* #,##0_);_(* \(#,##0\);_(* &quot;-&quot;??_);_(@_)">
                  <c:v>134369</c:v>
                </c:pt>
                <c:pt idx="12" formatCode="_(* #,##0_);_(* \(#,##0\);_(* &quot;-&quot;??_);_(@_)">
                  <c:v>137526</c:v>
                </c:pt>
                <c:pt idx="13" formatCode="_(* #,##0_);_(* \(#,##0\);_(* &quot;-&quot;??_);_(@_)">
                  <c:v>138140</c:v>
                </c:pt>
                <c:pt idx="14" formatCode="_(* #,##0_);_(* \(#,##0\);_(* &quot;-&quot;??_);_(@_)">
                  <c:v>138665</c:v>
                </c:pt>
                <c:pt idx="15" formatCode="_(* #,##0_);_(* \(#,##0\);_(* &quot;-&quot;??_);_(@_)">
                  <c:v>141943</c:v>
                </c:pt>
                <c:pt idx="16" formatCode="_(* #,##0_);_(* \(#,##0\);_(* &quot;-&quot;??_);_(@_)">
                  <c:v>152385</c:v>
                </c:pt>
                <c:pt idx="17" formatCode="_(* #,##0_);_(* \(#,##0\);_(* &quot;-&quot;??_);_(@_)">
                  <c:v>162815</c:v>
                </c:pt>
                <c:pt idx="18" formatCode="_(* #,##0_);_(* \(#,##0\);_(* &quot;-&quot;??_);_(@_)">
                  <c:v>172025</c:v>
                </c:pt>
                <c:pt idx="19" formatCode="_(* #,##0_);_(* \(#,##0\);_(* &quot;-&quot;??_);_(@_)">
                  <c:v>188066</c:v>
                </c:pt>
                <c:pt idx="20" formatCode="_(* #,##0_);_(* \(#,##0\);_(* &quot;-&quot;??_);_(@_)">
                  <c:v>192349</c:v>
                </c:pt>
                <c:pt idx="21" formatCode="_(* #,##0_);_(* \(#,##0\);_(* &quot;-&quot;??_);_(@_)">
                  <c:v>195964</c:v>
                </c:pt>
                <c:pt idx="22" formatCode="_(* #,##0_);_(* \(#,##0\);_(* &quot;-&quot;??_);_(@_)">
                  <c:v>204086</c:v>
                </c:pt>
                <c:pt idx="23" formatCode="_(* #,##0_);_(* \(#,##0\);_(* &quot;-&quot;??_);_(@_)">
                  <c:v>209425</c:v>
                </c:pt>
                <c:pt idx="24" formatCode="_(* #,##0_);_(* \(#,##0\);_(* &quot;-&quot;??_);_(@_)">
                  <c:v>219765</c:v>
                </c:pt>
                <c:pt idx="25" formatCode="_(* #,##0_);_(* \(#,##0\);_(* &quot;-&quot;??_);_(@_)">
                  <c:v>231789</c:v>
                </c:pt>
                <c:pt idx="26" formatCode="_(* #,##0_);_(* \(#,##0\);_(* &quot;-&quot;??_);_(@_)">
                  <c:v>249920</c:v>
                </c:pt>
                <c:pt idx="27" formatCode="_(* #,##0_);_(* \(#,##0\);_(* &quot;-&quot;??_);_(@_)">
                  <c:v>255638</c:v>
                </c:pt>
                <c:pt idx="28" formatCode="_(* #,##0_);_(* \(#,##0\);_(* &quot;-&quot;??_);_(@_)">
                  <c:v>262110</c:v>
                </c:pt>
                <c:pt idx="29" formatCode="_(* #,##0_);_(* \(#,##0\);_(* &quot;-&quot;??_);_(@_)">
                  <c:v>271029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D-4BA3-97EA-FD6C918768E3}"/>
            </c:ext>
          </c:extLst>
        </c:ser>
        <c:ser>
          <c:idx val="4"/>
          <c:order val="4"/>
          <c:tx>
            <c:strRef>
              <c:f>PM_Pop_Data!$B$7</c:f>
              <c:strCache>
                <c:ptCount val="1"/>
                <c:pt idx="0">
                  <c:v>Surrey Heartlands Health and Care Partnership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PM_Pop_Data!$C$2:$AM$2</c15:sqref>
                  </c15:fullRef>
                </c:ext>
              </c:extLst>
              <c:f>PM_Pop_Data!$J$2:$AM$2</c:f>
              <c:numCache>
                <c:formatCode>m/d/yyyy</c:formatCode>
                <c:ptCount val="30"/>
                <c:pt idx="0">
                  <c:v>44459</c:v>
                </c:pt>
                <c:pt idx="1">
                  <c:v>44460</c:v>
                </c:pt>
                <c:pt idx="2">
                  <c:v>44461</c:v>
                </c:pt>
                <c:pt idx="3">
                  <c:v>44462</c:v>
                </c:pt>
                <c:pt idx="4">
                  <c:v>44463</c:v>
                </c:pt>
                <c:pt idx="5">
                  <c:v>44464</c:v>
                </c:pt>
                <c:pt idx="6">
                  <c:v>44465</c:v>
                </c:pt>
                <c:pt idx="7">
                  <c:v>44466</c:v>
                </c:pt>
                <c:pt idx="8">
                  <c:v>44467</c:v>
                </c:pt>
                <c:pt idx="9">
                  <c:v>44468</c:v>
                </c:pt>
                <c:pt idx="10">
                  <c:v>44469</c:v>
                </c:pt>
                <c:pt idx="11">
                  <c:v>44470</c:v>
                </c:pt>
                <c:pt idx="12">
                  <c:v>44471</c:v>
                </c:pt>
                <c:pt idx="13">
                  <c:v>44472</c:v>
                </c:pt>
                <c:pt idx="14">
                  <c:v>44473</c:v>
                </c:pt>
                <c:pt idx="15">
                  <c:v>44474</c:v>
                </c:pt>
                <c:pt idx="16">
                  <c:v>44475</c:v>
                </c:pt>
                <c:pt idx="17">
                  <c:v>44476</c:v>
                </c:pt>
                <c:pt idx="18">
                  <c:v>44477</c:v>
                </c:pt>
                <c:pt idx="19">
                  <c:v>44478</c:v>
                </c:pt>
                <c:pt idx="20">
                  <c:v>44479</c:v>
                </c:pt>
                <c:pt idx="21">
                  <c:v>44480</c:v>
                </c:pt>
                <c:pt idx="22">
                  <c:v>44481</c:v>
                </c:pt>
                <c:pt idx="23">
                  <c:v>44482</c:v>
                </c:pt>
                <c:pt idx="24">
                  <c:v>44483</c:v>
                </c:pt>
                <c:pt idx="25">
                  <c:v>44484</c:v>
                </c:pt>
                <c:pt idx="26">
                  <c:v>44485</c:v>
                </c:pt>
                <c:pt idx="27">
                  <c:v>44486</c:v>
                </c:pt>
                <c:pt idx="28">
                  <c:v>44487</c:v>
                </c:pt>
                <c:pt idx="29">
                  <c:v>44488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PM_Pop_Data!$C$7:$AM$7</c15:sqref>
                  </c15:fullRef>
                </c:ext>
              </c:extLst>
              <c:f>PM_Pop_Data!$J$7:$AM$7</c:f>
              <c:numCache>
                <c:formatCode>0</c:formatCode>
                <c:ptCount val="30"/>
                <c:pt idx="0" formatCode="_(* #,##0_);_(* \(#,##0\);_(* &quot;-&quot;??_);_(@_)">
                  <c:v>28333</c:v>
                </c:pt>
                <c:pt idx="1" formatCode="_(* #,##0_);_(* \(#,##0\);_(* &quot;-&quot;??_);_(@_)">
                  <c:v>31525</c:v>
                </c:pt>
                <c:pt idx="2" formatCode="_(* #,##0_);_(* \(#,##0\);_(* &quot;-&quot;??_);_(@_)">
                  <c:v>35164</c:v>
                </c:pt>
                <c:pt idx="3" formatCode="_(* #,##0_);_(* \(#,##0\);_(* &quot;-&quot;??_);_(@_)">
                  <c:v>31527</c:v>
                </c:pt>
                <c:pt idx="4" formatCode="_(* #,##0_);_(* \(#,##0\);_(* &quot;-&quot;??_);_(@_)">
                  <c:v>35164</c:v>
                </c:pt>
                <c:pt idx="5" formatCode="_(* #,##0_);_(* \(#,##0\);_(* &quot;-&quot;??_);_(@_)">
                  <c:v>37183</c:v>
                </c:pt>
                <c:pt idx="6" formatCode="_(* #,##0_);_(* \(#,##0\);_(* &quot;-&quot;??_);_(@_)">
                  <c:v>38490</c:v>
                </c:pt>
                <c:pt idx="7" formatCode="_(* #,##0_);_(* \(#,##0\);_(* &quot;-&quot;??_);_(@_)">
                  <c:v>40526</c:v>
                </c:pt>
                <c:pt idx="8" formatCode="_(* #,##0_);_(* \(#,##0\);_(* &quot;-&quot;??_);_(@_)">
                  <c:v>45142</c:v>
                </c:pt>
                <c:pt idx="9" formatCode="_(* #,##0_);_(* \(#,##0\);_(* &quot;-&quot;??_);_(@_)">
                  <c:v>51481</c:v>
                </c:pt>
                <c:pt idx="10" formatCode="_(* #,##0_);_(* \(#,##0\);_(* &quot;-&quot;??_);_(@_)">
                  <c:v>58754</c:v>
                </c:pt>
                <c:pt idx="11" formatCode="_(* #,##0_);_(* \(#,##0\);_(* &quot;-&quot;??_);_(@_)">
                  <c:v>63909</c:v>
                </c:pt>
                <c:pt idx="12" formatCode="_(* #,##0_);_(* \(#,##0\);_(* &quot;-&quot;??_);_(@_)">
                  <c:v>65942</c:v>
                </c:pt>
                <c:pt idx="13" formatCode="_(* #,##0_);_(* \(#,##0\);_(* &quot;-&quot;??_);_(@_)">
                  <c:v>66490</c:v>
                </c:pt>
                <c:pt idx="14" formatCode="_(* #,##0_);_(* \(#,##0\);_(* &quot;-&quot;??_);_(@_)">
                  <c:v>67140</c:v>
                </c:pt>
                <c:pt idx="15" formatCode="_(* #,##0_);_(* \(#,##0\);_(* &quot;-&quot;??_);_(@_)">
                  <c:v>71401</c:v>
                </c:pt>
                <c:pt idx="16" formatCode="_(* #,##0_);_(* \(#,##0\);_(* &quot;-&quot;??_);_(@_)">
                  <c:v>78202</c:v>
                </c:pt>
                <c:pt idx="17" formatCode="_(* #,##0_);_(* \(#,##0\);_(* &quot;-&quot;??_);_(@_)">
                  <c:v>85501</c:v>
                </c:pt>
                <c:pt idx="18" formatCode="_(* #,##0_);_(* \(#,##0\);_(* &quot;-&quot;??_);_(@_)">
                  <c:v>92441</c:v>
                </c:pt>
                <c:pt idx="19" formatCode="_(* #,##0_);_(* \(#,##0\);_(* &quot;-&quot;??_);_(@_)">
                  <c:v>99070</c:v>
                </c:pt>
                <c:pt idx="20" formatCode="_(* #,##0_);_(* \(#,##0\);_(* &quot;-&quot;??_);_(@_)">
                  <c:v>104536</c:v>
                </c:pt>
                <c:pt idx="21" formatCode="_(* #,##0_);_(* \(#,##0\);_(* &quot;-&quot;??_);_(@_)">
                  <c:v>106540</c:v>
                </c:pt>
                <c:pt idx="22" formatCode="_(* #,##0_);_(* \(#,##0\);_(* &quot;-&quot;??_);_(@_)">
                  <c:v>110781</c:v>
                </c:pt>
                <c:pt idx="23" formatCode="_(* #,##0_);_(* \(#,##0\);_(* &quot;-&quot;??_);_(@_)">
                  <c:v>116167</c:v>
                </c:pt>
                <c:pt idx="24" formatCode="_(* #,##0_);_(* \(#,##0\);_(* &quot;-&quot;??_);_(@_)">
                  <c:v>122450</c:v>
                </c:pt>
                <c:pt idx="25" formatCode="_(* #,##0_);_(* \(#,##0\);_(* &quot;-&quot;??_);_(@_)">
                  <c:v>129620</c:v>
                </c:pt>
                <c:pt idx="26" formatCode="_(* #,##0_);_(* \(#,##0\);_(* &quot;-&quot;??_);_(@_)">
                  <c:v>136915</c:v>
                </c:pt>
                <c:pt idx="27" formatCode="_(* #,##0_);_(* \(#,##0\);_(* &quot;-&quot;??_);_(@_)">
                  <c:v>143577</c:v>
                </c:pt>
                <c:pt idx="28" formatCode="_(* #,##0_);_(* \(#,##0\);_(* &quot;-&quot;??_);_(@_)">
                  <c:v>146772</c:v>
                </c:pt>
                <c:pt idx="29" formatCode="_(* #,##0_);_(* \(#,##0\);_(* &quot;-&quot;??_);_(@_)">
                  <c:v>151339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FD-4BA3-97EA-FD6C918768E3}"/>
            </c:ext>
          </c:extLst>
        </c:ser>
        <c:ser>
          <c:idx val="5"/>
          <c:order val="5"/>
          <c:tx>
            <c:strRef>
              <c:f>PM_Pop_Data!$B$8</c:f>
              <c:strCache>
                <c:ptCount val="1"/>
                <c:pt idx="0">
                  <c:v>Sussex Health and Care Partnership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PM_Pop_Data!$C$2:$AM$2</c15:sqref>
                  </c15:fullRef>
                </c:ext>
              </c:extLst>
              <c:f>PM_Pop_Data!$J$2:$AM$2</c:f>
              <c:numCache>
                <c:formatCode>m/d/yyyy</c:formatCode>
                <c:ptCount val="30"/>
                <c:pt idx="0">
                  <c:v>44459</c:v>
                </c:pt>
                <c:pt idx="1">
                  <c:v>44460</c:v>
                </c:pt>
                <c:pt idx="2">
                  <c:v>44461</c:v>
                </c:pt>
                <c:pt idx="3">
                  <c:v>44462</c:v>
                </c:pt>
                <c:pt idx="4">
                  <c:v>44463</c:v>
                </c:pt>
                <c:pt idx="5">
                  <c:v>44464</c:v>
                </c:pt>
                <c:pt idx="6">
                  <c:v>44465</c:v>
                </c:pt>
                <c:pt idx="7">
                  <c:v>44466</c:v>
                </c:pt>
                <c:pt idx="8">
                  <c:v>44467</c:v>
                </c:pt>
                <c:pt idx="9">
                  <c:v>44468</c:v>
                </c:pt>
                <c:pt idx="10">
                  <c:v>44469</c:v>
                </c:pt>
                <c:pt idx="11">
                  <c:v>44470</c:v>
                </c:pt>
                <c:pt idx="12">
                  <c:v>44471</c:v>
                </c:pt>
                <c:pt idx="13">
                  <c:v>44472</c:v>
                </c:pt>
                <c:pt idx="14">
                  <c:v>44473</c:v>
                </c:pt>
                <c:pt idx="15">
                  <c:v>44474</c:v>
                </c:pt>
                <c:pt idx="16">
                  <c:v>44475</c:v>
                </c:pt>
                <c:pt idx="17">
                  <c:v>44476</c:v>
                </c:pt>
                <c:pt idx="18">
                  <c:v>44477</c:v>
                </c:pt>
                <c:pt idx="19">
                  <c:v>44478</c:v>
                </c:pt>
                <c:pt idx="20">
                  <c:v>44479</c:v>
                </c:pt>
                <c:pt idx="21">
                  <c:v>44480</c:v>
                </c:pt>
                <c:pt idx="22">
                  <c:v>44481</c:v>
                </c:pt>
                <c:pt idx="23">
                  <c:v>44482</c:v>
                </c:pt>
                <c:pt idx="24">
                  <c:v>44483</c:v>
                </c:pt>
                <c:pt idx="25">
                  <c:v>44484</c:v>
                </c:pt>
                <c:pt idx="26">
                  <c:v>44485</c:v>
                </c:pt>
                <c:pt idx="27">
                  <c:v>44486</c:v>
                </c:pt>
                <c:pt idx="28">
                  <c:v>44487</c:v>
                </c:pt>
                <c:pt idx="29">
                  <c:v>44488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PM_Pop_Data!$C$8:$AM$8</c15:sqref>
                  </c15:fullRef>
                </c:ext>
              </c:extLst>
              <c:f>PM_Pop_Data!$J$8:$AM$8</c:f>
              <c:numCache>
                <c:formatCode>0</c:formatCode>
                <c:ptCount val="30"/>
                <c:pt idx="0" formatCode="_(* #,##0_);_(* \(#,##0\);_(* &quot;-&quot;??_);_(@_)">
                  <c:v>58825</c:v>
                </c:pt>
                <c:pt idx="1" formatCode="_(* #,##0_);_(* \(#,##0\);_(* &quot;-&quot;??_);_(@_)">
                  <c:v>65717</c:v>
                </c:pt>
                <c:pt idx="2" formatCode="_(* #,##0_);_(* \(#,##0\);_(* &quot;-&quot;??_);_(@_)">
                  <c:v>73993</c:v>
                </c:pt>
                <c:pt idx="3" formatCode="_(* #,##0_);_(* \(#,##0\);_(* &quot;-&quot;??_);_(@_)">
                  <c:v>65726</c:v>
                </c:pt>
                <c:pt idx="4" formatCode="_(* #,##0_);_(* \(#,##0\);_(* &quot;-&quot;??_);_(@_)">
                  <c:v>74001</c:v>
                </c:pt>
                <c:pt idx="5" formatCode="_(* #,##0_);_(* \(#,##0\);_(* &quot;-&quot;??_);_(@_)">
                  <c:v>83515</c:v>
                </c:pt>
                <c:pt idx="6" formatCode="_(* #,##0_);_(* \(#,##0\);_(* &quot;-&quot;??_);_(@_)">
                  <c:v>87461</c:v>
                </c:pt>
                <c:pt idx="7" formatCode="_(* #,##0_);_(* \(#,##0\);_(* &quot;-&quot;??_);_(@_)">
                  <c:v>92430</c:v>
                </c:pt>
                <c:pt idx="8" formatCode="_(* #,##0_);_(* \(#,##0\);_(* &quot;-&quot;??_);_(@_)">
                  <c:v>99601</c:v>
                </c:pt>
                <c:pt idx="9" formatCode="_(* #,##0_);_(* \(#,##0\);_(* &quot;-&quot;??_);_(@_)">
                  <c:v>111503</c:v>
                </c:pt>
                <c:pt idx="10" formatCode="_(* #,##0_);_(* \(#,##0\);_(* &quot;-&quot;??_);_(@_)">
                  <c:v>122851</c:v>
                </c:pt>
                <c:pt idx="11" formatCode="_(* #,##0_);_(* \(#,##0\);_(* &quot;-&quot;??_);_(@_)">
                  <c:v>131494</c:v>
                </c:pt>
                <c:pt idx="12" formatCode="_(* #,##0_);_(* \(#,##0\);_(* &quot;-&quot;??_);_(@_)">
                  <c:v>139383</c:v>
                </c:pt>
                <c:pt idx="13" formatCode="_(* #,##0_);_(* \(#,##0\);_(* &quot;-&quot;??_);_(@_)">
                  <c:v>139464</c:v>
                </c:pt>
                <c:pt idx="14" formatCode="_(* #,##0_);_(* \(#,##0\);_(* &quot;-&quot;??_);_(@_)">
                  <c:v>140345</c:v>
                </c:pt>
                <c:pt idx="15" formatCode="_(* #,##0_);_(* \(#,##0\);_(* &quot;-&quot;??_);_(@_)">
                  <c:v>144562</c:v>
                </c:pt>
                <c:pt idx="16" formatCode="_(* #,##0_);_(* \(#,##0\);_(* &quot;-&quot;??_);_(@_)">
                  <c:v>158046</c:v>
                </c:pt>
                <c:pt idx="17" formatCode="_(* #,##0_);_(* \(#,##0\);_(* &quot;-&quot;??_);_(@_)">
                  <c:v>170801</c:v>
                </c:pt>
                <c:pt idx="18" formatCode="_(* #,##0_);_(* \(#,##0\);_(* &quot;-&quot;??_);_(@_)">
                  <c:v>184702</c:v>
                </c:pt>
                <c:pt idx="19" formatCode="_(* #,##0_);_(* \(#,##0\);_(* &quot;-&quot;??_);_(@_)">
                  <c:v>200319</c:v>
                </c:pt>
                <c:pt idx="20" formatCode="_(* #,##0_);_(* \(#,##0\);_(* &quot;-&quot;??_);_(@_)">
                  <c:v>205851</c:v>
                </c:pt>
                <c:pt idx="21" formatCode="_(* #,##0_);_(* \(#,##0\);_(* &quot;-&quot;??_);_(@_)">
                  <c:v>209906</c:v>
                </c:pt>
                <c:pt idx="22" formatCode="_(* #,##0_);_(* \(#,##0\);_(* &quot;-&quot;??_);_(@_)">
                  <c:v>216666</c:v>
                </c:pt>
                <c:pt idx="23" formatCode="_(* #,##0_);_(* \(#,##0\);_(* &quot;-&quot;??_);_(@_)">
                  <c:v>223439</c:v>
                </c:pt>
                <c:pt idx="24" formatCode="_(* #,##0_);_(* \(#,##0\);_(* &quot;-&quot;??_);_(@_)">
                  <c:v>236334</c:v>
                </c:pt>
                <c:pt idx="25" formatCode="_(* #,##0_);_(* \(#,##0\);_(* &quot;-&quot;??_);_(@_)">
                  <c:v>251665</c:v>
                </c:pt>
                <c:pt idx="26" formatCode="_(* #,##0_);_(* \(#,##0\);_(* &quot;-&quot;??_);_(@_)">
                  <c:v>268044</c:v>
                </c:pt>
                <c:pt idx="27" formatCode="_(* #,##0_);_(* \(#,##0\);_(* &quot;-&quot;??_);_(@_)">
                  <c:v>274763</c:v>
                </c:pt>
                <c:pt idx="28" formatCode="_(* #,##0_);_(* \(#,##0\);_(* &quot;-&quot;??_);_(@_)">
                  <c:v>281617</c:v>
                </c:pt>
                <c:pt idx="29" formatCode="_(* #,##0_);_(* \(#,##0\);_(* &quot;-&quot;??_);_(@_)">
                  <c:v>291407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FD-4BA3-97EA-FD6C91876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6654832"/>
        <c:axId val="696664344"/>
      </c:lineChart>
      <c:dateAx>
        <c:axId val="69665483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6664344"/>
        <c:crosses val="autoZero"/>
        <c:auto val="1"/>
        <c:lblOffset val="100"/>
        <c:baseTimeUnit val="days"/>
      </c:dateAx>
      <c:valAx>
        <c:axId val="696664344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6654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B9B1351-780A-4641-9610-529F3E4C2DCE}">
  <sheetPr>
    <tabColor theme="0"/>
  </sheetPr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323850" y="1123950"/>
    <xdr:ext cx="12582525" cy="52959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AE82C8F-EABF-4676-8EC6-4F126D6F2CA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>
    <xdr:from>
      <xdr:col>9</xdr:col>
      <xdr:colOff>95250</xdr:colOff>
      <xdr:row>1</xdr:row>
      <xdr:rowOff>102659</xdr:rowOff>
    </xdr:from>
    <xdr:to>
      <xdr:col>21</xdr:col>
      <xdr:colOff>166159</xdr:colOff>
      <xdr:row>4</xdr:row>
      <xdr:rowOff>64559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9C16614-4428-42F4-A786-7CBBA8156280}"/>
            </a:ext>
          </a:extLst>
        </xdr:cNvPr>
        <xdr:cNvSpPr/>
      </xdr:nvSpPr>
      <xdr:spPr>
        <a:xfrm>
          <a:off x="5725583" y="346076"/>
          <a:ext cx="7436909" cy="501650"/>
        </a:xfrm>
        <a:prstGeom prst="rect">
          <a:avLst/>
        </a:prstGeom>
        <a:noFill/>
        <a:ln w="9525">
          <a:solidFill>
            <a:schemeClr val="bg1">
              <a:lumMod val="8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22</xdr:col>
      <xdr:colOff>342900</xdr:colOff>
      <xdr:row>9</xdr:row>
      <xdr:rowOff>104774</xdr:rowOff>
    </xdr:from>
    <xdr:to>
      <xdr:col>26</xdr:col>
      <xdr:colOff>76200</xdr:colOff>
      <xdr:row>21</xdr:row>
      <xdr:rowOff>95249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D9982857-D600-4CCC-ADED-50E71CE15D22}"/>
            </a:ext>
          </a:extLst>
        </xdr:cNvPr>
        <xdr:cNvSpPr/>
      </xdr:nvSpPr>
      <xdr:spPr>
        <a:xfrm>
          <a:off x="13868400" y="1724024"/>
          <a:ext cx="3714750" cy="19335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absoluteAnchor>
    <xdr:pos x="13525500" y="3820583"/>
    <xdr:ext cx="5577417" cy="3460750"/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7577884-FBDD-4E80-A9E3-EBF51C7F457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  <xdr:twoCellAnchor>
    <xdr:from>
      <xdr:col>34</xdr:col>
      <xdr:colOff>391585</xdr:colOff>
      <xdr:row>16</xdr:row>
      <xdr:rowOff>158749</xdr:rowOff>
    </xdr:from>
    <xdr:to>
      <xdr:col>43</xdr:col>
      <xdr:colOff>95251</xdr:colOff>
      <xdr:row>21</xdr:row>
      <xdr:rowOff>127000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4F80BCD3-2709-4DDD-ACCB-118FB82637F4}"/>
            </a:ext>
          </a:extLst>
        </xdr:cNvPr>
        <xdr:cNvSpPr/>
      </xdr:nvSpPr>
      <xdr:spPr>
        <a:xfrm>
          <a:off x="23579668" y="2878666"/>
          <a:ext cx="5228166" cy="76200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400"/>
            <a:t>We</a:t>
          </a:r>
          <a:r>
            <a:rPr lang="en-GB" sz="1400" baseline="0"/>
            <a:t> could base all rates and gaps to target based on projected eligible population at tagret date, instead of having a moving target/increasing denominator????</a:t>
          </a:r>
          <a:endParaRPr lang="en-GB" sz="14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0.69695</cdr:x>
      <cdr:y>0.05285</cdr:y>
    </cdr:to>
    <cdr:sp macro="" textlink="pm_chrt_data!$E$1">
      <cdr:nvSpPr>
        <cdr:cNvPr id="3" name="Rectangle 2">
          <a:extLst xmlns:a="http://schemas.openxmlformats.org/drawingml/2006/main">
            <a:ext uri="{FF2B5EF4-FFF2-40B4-BE49-F238E27FC236}">
              <a16:creationId xmlns:a16="http://schemas.microsoft.com/office/drawing/2014/main" id="{A8EF16DB-3BA3-41E6-95A6-82E059780A83}"/>
            </a:ext>
          </a:extLst>
        </cdr:cNvPr>
        <cdr:cNvSpPr/>
      </cdr:nvSpPr>
      <cdr:spPr>
        <a:xfrm xmlns:a="http://schemas.openxmlformats.org/drawingml/2006/main">
          <a:off x="0" y="0"/>
          <a:ext cx="8769391" cy="27988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78C2E5B2-D9CF-422A-BA74-D7A19AD9BF2C}" type="TxLink">
            <a:rPr lang="en-US" sz="1100" b="1" i="0" u="none" strike="noStrike" baseline="0">
              <a:solidFill>
                <a:srgbClr val="000000"/>
              </a:solidFill>
              <a:effectLst/>
              <a:latin typeface="Calibri"/>
              <a:ea typeface="+mn-ea"/>
              <a:cs typeface="Calibri"/>
            </a:rPr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Booster penetration (All cohorts) - South East</a:t>
          </a:fld>
          <a:endParaRPr lang="en-US" sz="1400" b="1">
            <a:solidFill>
              <a:schemeClr val="tx1">
                <a:lumMod val="75000"/>
                <a:lumOff val="25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</cdr:x>
      <cdr:y>0.04114</cdr:y>
    </cdr:from>
    <cdr:to>
      <cdr:x>0.39137</cdr:x>
      <cdr:y>0.09189</cdr:y>
    </cdr:to>
    <cdr:sp macro="" textlink="pm_chrt_data!$A$8">
      <cdr:nvSpPr>
        <cdr:cNvPr id="4" name="Rectangle 3">
          <a:extLst xmlns:a="http://schemas.openxmlformats.org/drawingml/2006/main">
            <a:ext uri="{FF2B5EF4-FFF2-40B4-BE49-F238E27FC236}">
              <a16:creationId xmlns:a16="http://schemas.microsoft.com/office/drawing/2014/main" id="{E5BFF34E-C7A2-4C38-9D1C-54D9306E2D6A}"/>
            </a:ext>
          </a:extLst>
        </cdr:cNvPr>
        <cdr:cNvSpPr/>
      </cdr:nvSpPr>
      <cdr:spPr>
        <a:xfrm xmlns:a="http://schemas.openxmlformats.org/drawingml/2006/main">
          <a:off x="0" y="217851"/>
          <a:ext cx="4924423" cy="2687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B548513B-E2E4-4FE0-A503-9DB909352FA5}" type="TxLink">
            <a:rPr lang="en-US" sz="1000" b="0" i="1" u="none" strike="noStrike">
              <a:solidFill>
                <a:schemeClr val="accent1"/>
              </a:solidFill>
              <a:latin typeface="Calibri"/>
              <a:cs typeface="Calibri"/>
            </a:rPr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Population Figures from : Cohort Population Metrics (Foundry)</a:t>
          </a:fld>
          <a:endParaRPr lang="en-US" sz="500" i="1">
            <a:solidFill>
              <a:schemeClr val="accent1"/>
            </a:solidFill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0.00949</cdr:x>
      <cdr:y>0.00917</cdr:y>
    </cdr:from>
    <cdr:to>
      <cdr:x>0.98292</cdr:x>
      <cdr:y>0.07339</cdr:y>
    </cdr:to>
    <cdr:sp macro="" textlink="'Trend Chart'!$W$24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313DDE31-235C-49ED-9A19-7680847CF2CE}"/>
            </a:ext>
          </a:extLst>
        </cdr:cNvPr>
        <cdr:cNvSpPr txBox="1"/>
      </cdr:nvSpPr>
      <cdr:spPr>
        <a:xfrm xmlns:a="http://schemas.openxmlformats.org/drawingml/2006/main">
          <a:off x="52917" y="31750"/>
          <a:ext cx="5429250" cy="2222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C5AAF24D-E550-4321-A156-2F9DC240D33C}" type="TxLink">
            <a:rPr lang="en-US" sz="900" b="1" i="0" u="none" strike="noStrike">
              <a:solidFill>
                <a:srgbClr val="000000"/>
              </a:solidFill>
              <a:latin typeface="Calibri"/>
              <a:cs typeface="Calibri"/>
            </a:rPr>
            <a:pPr/>
            <a:t>Cumulative booster eligible population, events and uptake rate - SE</a:t>
          </a:fld>
          <a:endParaRPr lang="en-GB" sz="105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612322</xdr:colOff>
      <xdr:row>19</xdr:row>
      <xdr:rowOff>136072</xdr:rowOff>
    </xdr:from>
    <xdr:to>
      <xdr:col>23</xdr:col>
      <xdr:colOff>231322</xdr:colOff>
      <xdr:row>29</xdr:row>
      <xdr:rowOff>108857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A426486-ECCE-4A3D-87CF-F22924813AD4}"/>
            </a:ext>
          </a:extLst>
        </xdr:cNvPr>
        <xdr:cNvSpPr/>
      </xdr:nvSpPr>
      <xdr:spPr>
        <a:xfrm>
          <a:off x="19308536" y="3755572"/>
          <a:ext cx="3633107" cy="187778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https://ppds.palantirfoundry.co.uk/workspace/contour-app/ri.contour.main.analysis.317a7e91-617b-47c7-b0dc-0c26ed41917d/path/ri.contour.main.ref.b77d4767-ab9b-46fa-ab85-659949124384/board?viewMode=edit</a:t>
          </a:r>
          <a:r>
            <a:rPr lang="en-GB" sz="2400"/>
            <a:t>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16</xdr:row>
      <xdr:rowOff>0</xdr:rowOff>
    </xdr:from>
    <xdr:to>
      <xdr:col>7</xdr:col>
      <xdr:colOff>308882</xdr:colOff>
      <xdr:row>25</xdr:row>
      <xdr:rowOff>163285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A610BCE-5FB8-41CC-8562-D6DA59A5C8AE}"/>
            </a:ext>
          </a:extLst>
        </xdr:cNvPr>
        <xdr:cNvSpPr/>
      </xdr:nvSpPr>
      <xdr:spPr>
        <a:xfrm>
          <a:off x="5495925" y="3048000"/>
          <a:ext cx="3633107" cy="187778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https://ppds.palantirfoundry.co.uk/workspace/contour-app/ri.contour.main.analysis.317a7e91-617b-47c7-b0dc-0c26ed41917d/path/ri.contour.main.ref.a130f743-30b1-4f8d-9b83-bef9a6e43678/board/3cd36d57-47aa-33ca-a995-157b986993b8?viewMode=edit</a:t>
          </a:r>
        </a:p>
        <a:p>
          <a:pPr algn="l"/>
          <a:endParaRPr lang="en-GB" sz="24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24474" cy="608263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BD963F-0433-4563-81C3-A1001B258B7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0F3C3AA-2EEF-472D-8CE2-BC8AE2DD3BE9}" name="Table1" displayName="Table1" ref="B2:F23" totalsRowShown="0">
  <autoFilter ref="B2:F23" xr:uid="{6317333D-E0F5-4433-8027-5D8CC1CF53ED}"/>
  <tableColumns count="5">
    <tableColumn id="1" xr3:uid="{E66D996A-623C-4765-BB1B-A98303BED918}" name="Pop_Sel" dataDxfId="2" dataCellStyle="Comma"/>
    <tableColumn id="2" xr3:uid="{87B49A5A-3DC6-4A28-B89F-CB4F7FE6757C}" name="STP"/>
    <tableColumn id="3" xr3:uid="{D557A238-37E5-4F3D-8399-93CBDFE84FC3}" name="STP_Short name"/>
    <tableColumn id="4" xr3:uid="{5BF83621-2DAC-495D-BB07-959E47B410EC}" name="where not in Cohorts 1-6" dataDxfId="1" dataCellStyle="Comma"/>
    <tableColumn id="5" xr3:uid="{87625C8C-1998-4960-8BD2-663A86A67FAE}" name="all Cohorts" dataDxfId="0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8C0C6-BC1B-43F2-89F2-1AF56D1778EB}">
  <sheetPr>
    <tabColor theme="0"/>
  </sheetPr>
  <dimension ref="B2:M35"/>
  <sheetViews>
    <sheetView showGridLines="0" tabSelected="1" zoomScaleNormal="100" workbookViewId="0">
      <selection activeCell="C44" sqref="C44"/>
    </sheetView>
  </sheetViews>
  <sheetFormatPr defaultRowHeight="15" x14ac:dyDescent="0.25"/>
  <cols>
    <col min="2" max="2" width="14" hidden="1" customWidth="1"/>
    <col min="3" max="3" width="44.42578125" customWidth="1"/>
    <col min="4" max="5" width="16.42578125" customWidth="1"/>
    <col min="6" max="6" width="2.42578125" customWidth="1"/>
    <col min="7" max="7" width="14.140625" customWidth="1"/>
    <col min="8" max="8" width="2" customWidth="1"/>
    <col min="9" max="9" width="14.140625" style="18" customWidth="1"/>
    <col min="10" max="10" width="2.42578125" customWidth="1"/>
    <col min="11" max="13" width="16.42578125" customWidth="1"/>
  </cols>
  <sheetData>
    <row r="2" spans="2:13" ht="18.75" x14ac:dyDescent="0.3">
      <c r="C2" s="97" t="s">
        <v>124</v>
      </c>
    </row>
    <row r="3" spans="2:13" x14ac:dyDescent="0.25">
      <c r="C3" s="88" t="str">
        <f>"Latest Actuals - "&amp;TEXT(pm_chrt_data!C1,"ddd dd mmm yyyy")</f>
        <v>Latest Actuals - Sun 24 Oct 2021</v>
      </c>
    </row>
    <row r="4" spans="2:13" s="61" customFormat="1" ht="66" customHeight="1" x14ac:dyDescent="0.2">
      <c r="C4" s="89"/>
      <c r="D4" s="102" t="str">
        <f>"Eligible population as of "&amp;TEXT(pm_chrt_data!C1,"dd mmm")</f>
        <v>Eligible population as of 24 Oct</v>
      </c>
      <c r="E4" s="102" t="str">
        <f>TEXT(pm_chrt_data!C4,"0%")&amp;" penetration target"</f>
        <v>100% penetration target</v>
      </c>
      <c r="F4" s="16"/>
      <c r="G4" s="102" t="str">
        <f>"Booster doses as of "&amp;TEXT(pm_chrt_data!C1,"dd mmm")</f>
        <v>Booster doses as of 24 Oct</v>
      </c>
      <c r="H4" s="102"/>
      <c r="I4" s="103" t="str">
        <f>"Current % Penetration 
"&amp;"as of "&amp;TEXT(pm_chrt_data!C1,"dd mmm")</f>
        <v>Current % Penetration 
as of 24 Oct</v>
      </c>
      <c r="J4" s="16"/>
      <c r="K4" s="102" t="s">
        <v>62</v>
      </c>
      <c r="L4" s="102" t="str">
        <f>"Avg Required 
per day to 
reach "&amp;TEXT(pm_chrt_data!C4,"0%")&amp;" of eligible population at "&amp;TEXT(pm_chrt_data!C2,"dd-mmm")</f>
        <v>Avg Required 
per day to 
reach 100% of eligible population at 31-Jan</v>
      </c>
      <c r="M4" s="102" t="str">
        <f>TEXT(pm_chrt_data!C1,"dd mmm")&amp;"
Vaccination 
Events"</f>
        <v>24 Oct
Vaccination 
Events</v>
      </c>
    </row>
    <row r="5" spans="2:13" ht="15.75" customHeight="1" x14ac:dyDescent="0.25">
      <c r="B5" t="s">
        <v>113</v>
      </c>
      <c r="C5" s="16"/>
      <c r="D5" s="90"/>
      <c r="E5" s="16"/>
      <c r="G5" s="16"/>
      <c r="H5" s="16"/>
      <c r="I5" s="17"/>
      <c r="K5" s="16"/>
      <c r="L5" s="16"/>
      <c r="M5" s="16"/>
    </row>
    <row r="6" spans="2:13" ht="22.5" customHeight="1" x14ac:dyDescent="0.25">
      <c r="B6" s="20" t="s">
        <v>10</v>
      </c>
      <c r="C6" s="90" t="s">
        <v>10</v>
      </c>
      <c r="D6" s="91">
        <f>INDEX(PM_Pop_Data!$3:$9,MATCH($C6,PM_Pop_Data!$B$3:$B$9,0),MATCH(pm_chrt_data!$C$1,PM_Pop_Data!$2:$2,0))</f>
        <v>284335</v>
      </c>
      <c r="E6" s="91">
        <f>ROUNDUP(D6*pm_chrt_data!$C$4,0)</f>
        <v>284335</v>
      </c>
      <c r="G6" s="91">
        <f ca="1">INDEX(pm_chrt_data!$N$55:$N$61,MATCH(C6,pm_chrt_data!$C$55:$C$61,0))</f>
        <v>151282</v>
      </c>
      <c r="H6" s="90"/>
      <c r="I6" s="98">
        <f ca="1">G6/D6</f>
        <v>0.53205549791619045</v>
      </c>
      <c r="K6" s="91">
        <f ca="1">E6-G6</f>
        <v>133053</v>
      </c>
      <c r="L6" s="91">
        <f ca="1">((INDEX('Phase 3 demand profiles'!$14:$20,MATCH('Current Position Table'!$C6,'Phase 3 demand profiles'!$B$14:$B$20,0),MATCH(pm_chrt_data!$C$2,'Phase 3 demand profiles'!$4:$4,0))*pm_chrt_data!$C$4)-'Current Position Table'!G6)/pm_chrt_data!$C$3</f>
        <v>6067.9595959595963</v>
      </c>
      <c r="M6" s="91">
        <f ca="1">INDEX(pm_chrt_data!$L$55:$L$61,MATCH($C6,pm_chrt_data!$C$55:$C$61,0))</f>
        <v>3087</v>
      </c>
    </row>
    <row r="7" spans="2:13" ht="12" customHeight="1" x14ac:dyDescent="0.25">
      <c r="B7" s="20"/>
      <c r="C7" s="90"/>
      <c r="D7" s="91"/>
      <c r="E7" s="91"/>
      <c r="G7" s="91"/>
      <c r="H7" s="91"/>
      <c r="I7" s="91"/>
      <c r="K7" s="91"/>
      <c r="L7" s="91"/>
      <c r="M7" s="91"/>
    </row>
    <row r="8" spans="2:13" s="20" customFormat="1" ht="22.5" customHeight="1" x14ac:dyDescent="0.25">
      <c r="B8" s="20" t="s">
        <v>2</v>
      </c>
      <c r="C8" s="90" t="s">
        <v>2</v>
      </c>
      <c r="D8" s="91">
        <f>INDEX(PM_Pop_Data!$3:$9,MATCH($C8,PM_Pop_Data!$B$3:$B$9,0),MATCH(pm_chrt_data!$C$1,PM_Pop_Data!$2:$2,0))</f>
        <v>114455</v>
      </c>
      <c r="E8" s="91">
        <f>ROUNDUP(D8*pm_chrt_data!$C$4,0)</f>
        <v>114455</v>
      </c>
      <c r="F8"/>
      <c r="G8" s="91">
        <f ca="1">INDEX(pm_chrt_data!$N$55:$N$61,MATCH(C8,pm_chrt_data!$C$55:$C$61,0))</f>
        <v>81280</v>
      </c>
      <c r="H8" s="90"/>
      <c r="I8" s="98">
        <f ca="1">G8/D8</f>
        <v>0.71014809313704075</v>
      </c>
      <c r="J8"/>
      <c r="K8" s="91">
        <f ca="1">E8-G8</f>
        <v>33175</v>
      </c>
      <c r="L8" s="91">
        <f ca="1">((INDEX('Phase 3 demand profiles'!$14:$20,MATCH('Current Position Table'!$C8,'Phase 3 demand profiles'!$B$14:$B$20,0),MATCH(pm_chrt_data!$C$2,'Phase 3 demand profiles'!$4:$4,0))*pm_chrt_data!$C$4)-'Current Position Table'!G8)/pm_chrt_data!$C$3</f>
        <v>2235.9595959595958</v>
      </c>
      <c r="M8" s="91">
        <f ca="1">INDEX(pm_chrt_data!$L$55:$L$61,MATCH($C8,pm_chrt_data!$C$55:$C$61,0))</f>
        <v>1342</v>
      </c>
    </row>
    <row r="9" spans="2:13" s="20" customFormat="1" ht="12" customHeight="1" x14ac:dyDescent="0.25">
      <c r="C9" s="90"/>
      <c r="D9" s="91"/>
      <c r="E9" s="91"/>
      <c r="F9"/>
      <c r="G9" s="91"/>
      <c r="H9" s="91"/>
      <c r="I9" s="91"/>
      <c r="J9"/>
      <c r="K9" s="91"/>
      <c r="L9" s="91"/>
      <c r="M9" s="91"/>
    </row>
    <row r="10" spans="2:13" s="20" customFormat="1" ht="22.5" customHeight="1" x14ac:dyDescent="0.25">
      <c r="B10" s="20" t="s">
        <v>6</v>
      </c>
      <c r="C10" s="90" t="s">
        <v>6</v>
      </c>
      <c r="D10" s="91">
        <f>INDEX(PM_Pop_Data!$3:$9,MATCH($C10,PM_Pop_Data!$B$3:$B$9,0),MATCH(pm_chrt_data!$C$1,PM_Pop_Data!$2:$2,0))</f>
        <v>335308</v>
      </c>
      <c r="E10" s="91">
        <f>ROUNDUP(D10*pm_chrt_data!$C$4,0)</f>
        <v>335308</v>
      </c>
      <c r="F10"/>
      <c r="G10" s="91">
        <f ca="1">INDEX(pm_chrt_data!$N$55:$N$61,MATCH(C10,pm_chrt_data!$C$55:$C$61,0))</f>
        <v>174438</v>
      </c>
      <c r="H10" s="90"/>
      <c r="I10" s="98">
        <f ca="1">G10/D10</f>
        <v>0.52023214477435675</v>
      </c>
      <c r="J10"/>
      <c r="K10" s="91">
        <f ca="1">E10-G10</f>
        <v>160870</v>
      </c>
      <c r="L10" s="91">
        <f ca="1">((INDEX('Phase 3 demand profiles'!$14:$20,MATCH('Current Position Table'!$C10,'Phase 3 demand profiles'!$B$14:$B$20,0),MATCH(pm_chrt_data!$C$2,'Phase 3 demand profiles'!$4:$4,0))*pm_chrt_data!$C$4)-'Current Position Table'!G10)/pm_chrt_data!$C$3</f>
        <v>6702.69696969697</v>
      </c>
      <c r="M10" s="91">
        <f ca="1">INDEX(pm_chrt_data!$L$55:$L$61,MATCH($C10,pm_chrt_data!$C$55:$C$61,0))</f>
        <v>4806</v>
      </c>
    </row>
    <row r="11" spans="2:13" s="20" customFormat="1" ht="12" customHeight="1" x14ac:dyDescent="0.25">
      <c r="C11" s="90"/>
      <c r="D11" s="91"/>
      <c r="E11" s="91"/>
      <c r="F11"/>
      <c r="G11" s="91"/>
      <c r="H11" s="91"/>
      <c r="I11" s="91"/>
      <c r="J11"/>
      <c r="K11" s="91"/>
      <c r="L11" s="91"/>
      <c r="M11" s="91"/>
    </row>
    <row r="12" spans="2:13" s="20" customFormat="1" ht="22.5" customHeight="1" x14ac:dyDescent="0.25">
      <c r="B12" s="20" t="s">
        <v>12</v>
      </c>
      <c r="C12" s="90" t="s">
        <v>12</v>
      </c>
      <c r="D12" s="91">
        <f>INDEX(PM_Pop_Data!$3:$9,MATCH($C12,PM_Pop_Data!$B$3:$B$9,0),MATCH(pm_chrt_data!$C$1,PM_Pop_Data!$2:$2,0))</f>
        <v>330666</v>
      </c>
      <c r="E12" s="91">
        <f>ROUNDUP(D12*pm_chrt_data!$C$4,0)</f>
        <v>330666</v>
      </c>
      <c r="F12"/>
      <c r="G12" s="91">
        <f ca="1">INDEX(pm_chrt_data!$N$55:$N$61,MATCH(C12,pm_chrt_data!$C$55:$C$61,0))</f>
        <v>162143</v>
      </c>
      <c r="H12" s="90"/>
      <c r="I12" s="98">
        <f ca="1">G12/D12</f>
        <v>0.49035280313065149</v>
      </c>
      <c r="J12"/>
      <c r="K12" s="91">
        <f ca="1">E12-G12</f>
        <v>168523</v>
      </c>
      <c r="L12" s="91">
        <f ca="1">((INDEX('Phase 3 demand profiles'!$14:$20,MATCH('Current Position Table'!$C12,'Phase 3 demand profiles'!$B$14:$B$20,0),MATCH(pm_chrt_data!$C$2,'Phase 3 demand profiles'!$4:$4,0))*pm_chrt_data!$C$4)-'Current Position Table'!G12)/pm_chrt_data!$C$3</f>
        <v>6644.8888888888887</v>
      </c>
      <c r="M12" s="91">
        <f ca="1">INDEX(pm_chrt_data!$L$55:$L$61,MATCH($C12,pm_chrt_data!$C$55:$C$61,0))</f>
        <v>4819</v>
      </c>
    </row>
    <row r="13" spans="2:13" s="20" customFormat="1" ht="12" customHeight="1" x14ac:dyDescent="0.25">
      <c r="C13" s="90"/>
      <c r="D13" s="91"/>
      <c r="E13" s="91"/>
      <c r="F13"/>
      <c r="G13" s="91"/>
      <c r="H13" s="91"/>
      <c r="I13" s="91"/>
      <c r="J13"/>
      <c r="K13" s="91"/>
      <c r="L13" s="91"/>
      <c r="M13" s="91"/>
    </row>
    <row r="14" spans="2:13" s="20" customFormat="1" ht="22.5" customHeight="1" x14ac:dyDescent="0.25">
      <c r="B14" s="20" t="s">
        <v>8</v>
      </c>
      <c r="C14" s="90" t="s">
        <v>8</v>
      </c>
      <c r="D14" s="91">
        <f>INDEX(PM_Pop_Data!$3:$9,MATCH($C14,PM_Pop_Data!$B$3:$B$9,0),MATCH(pm_chrt_data!$C$1,PM_Pop_Data!$2:$2,0))</f>
        <v>184136</v>
      </c>
      <c r="E14" s="91">
        <f>ROUNDUP(D14*pm_chrt_data!$C$4,0)</f>
        <v>184136</v>
      </c>
      <c r="F14"/>
      <c r="G14" s="91">
        <f ca="1">INDEX(pm_chrt_data!$N$55:$N$61,MATCH(C14,pm_chrt_data!$C$55:$C$61,0))</f>
        <v>96603</v>
      </c>
      <c r="H14" s="90"/>
      <c r="I14" s="98">
        <f ca="1">G14/D14</f>
        <v>0.52462853543033405</v>
      </c>
      <c r="J14"/>
      <c r="K14" s="91">
        <f ca="1">E14-G14</f>
        <v>87533</v>
      </c>
      <c r="L14" s="91">
        <f ca="1">((INDEX('Phase 3 demand profiles'!$14:$20,MATCH('Current Position Table'!$C14,'Phase 3 demand profiles'!$B$14:$B$20,0),MATCH(pm_chrt_data!$C$2,'Phase 3 demand profiles'!$4:$4,0))*pm_chrt_data!$C$4)-'Current Position Table'!G14)/pm_chrt_data!$C$3</f>
        <v>3592.6666666666665</v>
      </c>
      <c r="M14" s="91">
        <f ca="1">INDEX(pm_chrt_data!$L$55:$L$61,MATCH($C14,pm_chrt_data!$C$55:$C$61,0))</f>
        <v>2516</v>
      </c>
    </row>
    <row r="15" spans="2:13" s="20" customFormat="1" ht="12" customHeight="1" x14ac:dyDescent="0.25">
      <c r="C15" s="90"/>
      <c r="D15" s="91"/>
      <c r="E15" s="91"/>
      <c r="F15"/>
      <c r="G15" s="91"/>
      <c r="H15" s="91"/>
      <c r="I15" s="91"/>
      <c r="J15"/>
      <c r="K15" s="91"/>
      <c r="L15" s="91"/>
      <c r="M15" s="91"/>
    </row>
    <row r="16" spans="2:13" s="20" customFormat="1" ht="22.5" customHeight="1" x14ac:dyDescent="0.25">
      <c r="B16" s="20" t="s">
        <v>93</v>
      </c>
      <c r="C16" s="90" t="s">
        <v>4</v>
      </c>
      <c r="D16" s="91">
        <f>INDEX(PM_Pop_Data!$3:$9,MATCH($C16,PM_Pop_Data!$B$3:$B$9,0),MATCH(pm_chrt_data!$C$1,PM_Pop_Data!$2:$2,0))</f>
        <v>355189</v>
      </c>
      <c r="E16" s="91">
        <f>ROUNDUP(D16*pm_chrt_data!$C$4,0)</f>
        <v>355189</v>
      </c>
      <c r="F16"/>
      <c r="G16" s="91">
        <f ca="1">INDEX(pm_chrt_data!$N$55:$N$61,MATCH(C16,pm_chrt_data!$C$55:$C$61,0))</f>
        <v>176499</v>
      </c>
      <c r="H16" s="90"/>
      <c r="I16" s="98">
        <f ca="1">G16/D16</f>
        <v>0.49691572655684718</v>
      </c>
      <c r="J16"/>
      <c r="K16" s="91">
        <f ca="1">E16-G16</f>
        <v>178690</v>
      </c>
      <c r="L16" s="91">
        <f ca="1">((INDEX('Phase 3 demand profiles'!$14:$20,MATCH('Current Position Table'!$C16,'Phase 3 demand profiles'!$B$14:$B$20,0),MATCH(pm_chrt_data!$C$2,'Phase 3 demand profiles'!$4:$4,0))*pm_chrt_data!$C$4)-'Current Position Table'!G16)/pm_chrt_data!$C$3</f>
        <v>6404.6464646464647</v>
      </c>
      <c r="M16" s="91">
        <f ca="1">INDEX(pm_chrt_data!$L$55:$L$61,MATCH($C16,pm_chrt_data!$C$55:$C$61,0))</f>
        <v>4742</v>
      </c>
    </row>
    <row r="17" spans="2:13" s="20" customFormat="1" ht="12" customHeight="1" x14ac:dyDescent="0.25">
      <c r="B17"/>
      <c r="C17" s="16"/>
      <c r="D17" s="16"/>
      <c r="E17" s="16"/>
      <c r="F17" s="16"/>
      <c r="G17" s="16"/>
      <c r="H17" s="16"/>
      <c r="I17" s="17"/>
      <c r="J17"/>
      <c r="K17" s="16"/>
      <c r="L17" s="16"/>
      <c r="M17" s="61"/>
    </row>
    <row r="18" spans="2:13" s="20" customFormat="1" ht="22.5" customHeight="1" x14ac:dyDescent="0.25">
      <c r="B18" t="s">
        <v>17</v>
      </c>
      <c r="C18" s="99" t="s">
        <v>14</v>
      </c>
      <c r="D18" s="100">
        <f>SUM(D6:D16)</f>
        <v>1604089</v>
      </c>
      <c r="E18" s="100">
        <f>ROUNDUP(D18*pm_chrt_data!$C$4,0)</f>
        <v>1604089</v>
      </c>
      <c r="F18"/>
      <c r="G18" s="100">
        <f ca="1">INDEX(pm_chrt_data!$N$55:$N$61,MATCH(B18,pm_chrt_data!$C$55:$C$61,0))</f>
        <v>842245</v>
      </c>
      <c r="H18" s="99"/>
      <c r="I18" s="101">
        <f ca="1">G18/D18</f>
        <v>0.52506126530385788</v>
      </c>
      <c r="J18"/>
      <c r="K18" s="100">
        <f ca="1">E18-G18</f>
        <v>761844</v>
      </c>
      <c r="L18" s="100">
        <f ca="1">((INDEX('Phase 3 demand profiles'!$14:$20,MATCH("SE",'Phase 3 demand profiles'!$B$14:$B$20,0),MATCH(pm_chrt_data!$C$2,'Phase 3 demand profiles'!$4:$4,0))*pm_chrt_data!$C$4)-'Current Position Table'!G18)/pm_chrt_data!$C$3</f>
        <v>31648.81818181818</v>
      </c>
      <c r="M18" s="100">
        <f ca="1">INDEX(pm_chrt_data!$L$55:$L$61,MATCH($B18,pm_chrt_data!$C$55:$C$61,0))</f>
        <v>21312</v>
      </c>
    </row>
    <row r="21" spans="2:13" x14ac:dyDescent="0.25">
      <c r="C21" s="110"/>
      <c r="D21" s="111"/>
      <c r="E21" s="111"/>
      <c r="F21" s="111"/>
      <c r="G21" s="111"/>
      <c r="H21" s="111"/>
      <c r="I21" s="112"/>
      <c r="J21" s="109"/>
    </row>
    <row r="22" spans="2:13" ht="40.5" hidden="1" customHeight="1" x14ac:dyDescent="0.25">
      <c r="C22" s="126" t="s">
        <v>115</v>
      </c>
      <c r="D22" s="124" t="str">
        <f>D4</f>
        <v>Eligible population as of 24 Oct</v>
      </c>
      <c r="E22" s="124" t="str">
        <f t="shared" ref="E22:I22" si="0">E4</f>
        <v>100% penetration target</v>
      </c>
      <c r="F22" s="124"/>
      <c r="G22" s="124" t="str">
        <f t="shared" si="0"/>
        <v>Booster doses as of 24 Oct</v>
      </c>
      <c r="H22" s="124"/>
      <c r="I22" s="125" t="str">
        <f t="shared" si="0"/>
        <v>Current % Penetration 
as of 24 Oct</v>
      </c>
      <c r="J22" s="123"/>
    </row>
    <row r="23" spans="2:13" ht="23.1" hidden="1" customHeight="1" x14ac:dyDescent="0.25">
      <c r="B23" t="b">
        <f>IFERROR(FIND("South East",C23,1)&gt;0,FALSE)</f>
        <v>0</v>
      </c>
      <c r="C23" s="144" t="str">
        <f>pm_chrt_data!C107</f>
        <v>England</v>
      </c>
      <c r="D23" s="127">
        <f>pm_chrt_data!D107</f>
        <v>1604089</v>
      </c>
      <c r="E23" s="128">
        <f>pm_chrt_data!E107</f>
        <v>1203067</v>
      </c>
      <c r="F23" s="129"/>
      <c r="G23" s="127">
        <f ca="1">pm_chrt_data!G107</f>
        <v>842245</v>
      </c>
      <c r="H23" s="130"/>
      <c r="I23" s="131">
        <f ca="1">pm_chrt_data!I107</f>
        <v>0.52506126530385788</v>
      </c>
      <c r="J23" s="132"/>
    </row>
    <row r="24" spans="2:13" ht="21" hidden="1" customHeight="1" x14ac:dyDescent="0.25">
      <c r="B24" t="b">
        <f t="shared" ref="B24:B30" ca="1" si="1">IFERROR(FIND("South East",C24,1)&gt;0,FALSE)</f>
        <v>1</v>
      </c>
      <c r="C24" s="133" t="str">
        <f ca="1">pm_chrt_data!C108</f>
        <v>1 : South East</v>
      </c>
      <c r="D24" s="116">
        <f ca="1">pm_chrt_data!D108</f>
        <v>1604089</v>
      </c>
      <c r="E24" s="117">
        <f ca="1">pm_chrt_data!E108</f>
        <v>1604089</v>
      </c>
      <c r="F24" s="118"/>
      <c r="G24" s="116">
        <f ca="1">pm_chrt_data!G108</f>
        <v>842245</v>
      </c>
      <c r="H24" s="119"/>
      <c r="I24" s="121">
        <f ca="1">pm_chrt_data!I108</f>
        <v>0.52506126530385788</v>
      </c>
      <c r="J24" s="134"/>
    </row>
    <row r="25" spans="2:13" ht="21" hidden="1" customHeight="1" x14ac:dyDescent="0.25">
      <c r="B25" t="b">
        <f t="shared" ca="1" si="1"/>
        <v>0</v>
      </c>
      <c r="C25" s="135" t="e">
        <f ca="1">pm_chrt_data!C109</f>
        <v>#N/A</v>
      </c>
      <c r="D25" s="113" t="e">
        <f ca="1">pm_chrt_data!D109</f>
        <v>#N/A</v>
      </c>
      <c r="E25" s="114" t="e">
        <f ca="1">pm_chrt_data!E109</f>
        <v>#N/A</v>
      </c>
      <c r="F25" s="115"/>
      <c r="G25" s="113" t="e">
        <f ca="1">pm_chrt_data!G109</f>
        <v>#N/A</v>
      </c>
      <c r="H25" s="120"/>
      <c r="I25" s="122" t="e">
        <f ca="1">pm_chrt_data!I109</f>
        <v>#N/A</v>
      </c>
      <c r="J25" s="136"/>
    </row>
    <row r="26" spans="2:13" ht="21" hidden="1" customHeight="1" x14ac:dyDescent="0.25">
      <c r="B26" t="b">
        <f t="shared" ca="1" si="1"/>
        <v>0</v>
      </c>
      <c r="C26" s="135" t="e">
        <f ca="1">pm_chrt_data!C110</f>
        <v>#N/A</v>
      </c>
      <c r="D26" s="113" t="e">
        <f ca="1">pm_chrt_data!D110</f>
        <v>#N/A</v>
      </c>
      <c r="E26" s="114" t="e">
        <f ca="1">pm_chrt_data!E110</f>
        <v>#N/A</v>
      </c>
      <c r="F26" s="115"/>
      <c r="G26" s="113" t="e">
        <f ca="1">pm_chrt_data!G110</f>
        <v>#N/A</v>
      </c>
      <c r="H26" s="120"/>
      <c r="I26" s="122" t="e">
        <f ca="1">pm_chrt_data!I110</f>
        <v>#N/A</v>
      </c>
      <c r="J26" s="136"/>
    </row>
    <row r="27" spans="2:13" ht="21" hidden="1" customHeight="1" x14ac:dyDescent="0.25">
      <c r="B27" t="b">
        <f t="shared" ca="1" si="1"/>
        <v>0</v>
      </c>
      <c r="C27" s="135" t="e">
        <f ca="1">pm_chrt_data!C111</f>
        <v>#N/A</v>
      </c>
      <c r="D27" s="113" t="e">
        <f ca="1">pm_chrt_data!D111</f>
        <v>#N/A</v>
      </c>
      <c r="E27" s="114" t="e">
        <f ca="1">pm_chrt_data!E111</f>
        <v>#N/A</v>
      </c>
      <c r="F27" s="115"/>
      <c r="G27" s="113" t="e">
        <f ca="1">pm_chrt_data!G111</f>
        <v>#N/A</v>
      </c>
      <c r="H27" s="120"/>
      <c r="I27" s="122" t="e">
        <f ca="1">pm_chrt_data!I111</f>
        <v>#N/A</v>
      </c>
      <c r="J27" s="136"/>
    </row>
    <row r="28" spans="2:13" ht="21" hidden="1" customHeight="1" x14ac:dyDescent="0.25">
      <c r="B28" t="b">
        <f t="shared" ca="1" si="1"/>
        <v>0</v>
      </c>
      <c r="C28" s="135" t="e">
        <f ca="1">pm_chrt_data!C112</f>
        <v>#N/A</v>
      </c>
      <c r="D28" s="113" t="e">
        <f ca="1">pm_chrt_data!D112</f>
        <v>#N/A</v>
      </c>
      <c r="E28" s="114" t="e">
        <f ca="1">pm_chrt_data!E112</f>
        <v>#N/A</v>
      </c>
      <c r="F28" s="115"/>
      <c r="G28" s="113" t="e">
        <f ca="1">pm_chrt_data!G112</f>
        <v>#N/A</v>
      </c>
      <c r="H28" s="120"/>
      <c r="I28" s="122" t="e">
        <f ca="1">pm_chrt_data!I112</f>
        <v>#N/A</v>
      </c>
      <c r="J28" s="136"/>
    </row>
    <row r="29" spans="2:13" ht="21" hidden="1" customHeight="1" x14ac:dyDescent="0.25">
      <c r="B29" t="b">
        <f t="shared" ca="1" si="1"/>
        <v>0</v>
      </c>
      <c r="C29" s="135" t="e">
        <f ca="1">pm_chrt_data!C113</f>
        <v>#N/A</v>
      </c>
      <c r="D29" s="113" t="e">
        <f ca="1">pm_chrt_data!D113</f>
        <v>#N/A</v>
      </c>
      <c r="E29" s="114" t="e">
        <f ca="1">pm_chrt_data!E113</f>
        <v>#N/A</v>
      </c>
      <c r="F29" s="115"/>
      <c r="G29" s="113" t="e">
        <f ca="1">pm_chrt_data!G113</f>
        <v>#N/A</v>
      </c>
      <c r="H29" s="120"/>
      <c r="I29" s="122" t="e">
        <f ca="1">pm_chrt_data!I113</f>
        <v>#N/A</v>
      </c>
      <c r="J29" s="136"/>
    </row>
    <row r="30" spans="2:13" ht="21" hidden="1" customHeight="1" x14ac:dyDescent="0.25">
      <c r="B30" t="b">
        <f t="shared" ca="1" si="1"/>
        <v>0</v>
      </c>
      <c r="C30" s="137" t="e">
        <f ca="1">pm_chrt_data!C114</f>
        <v>#N/A</v>
      </c>
      <c r="D30" s="138" t="e">
        <f ca="1">pm_chrt_data!D114</f>
        <v>#N/A</v>
      </c>
      <c r="E30" s="139" t="e">
        <f ca="1">pm_chrt_data!E114</f>
        <v>#N/A</v>
      </c>
      <c r="F30" s="140"/>
      <c r="G30" s="138" t="e">
        <f ca="1">pm_chrt_data!G114</f>
        <v>#N/A</v>
      </c>
      <c r="H30" s="141"/>
      <c r="I30" s="142" t="e">
        <f ca="1">pm_chrt_data!I114</f>
        <v>#N/A</v>
      </c>
      <c r="J30" s="143"/>
    </row>
    <row r="31" spans="2:13" ht="22.5" hidden="1" customHeight="1" x14ac:dyDescent="0.25"/>
    <row r="32" spans="2:13" hidden="1" x14ac:dyDescent="0.25"/>
    <row r="33" spans="3:3" x14ac:dyDescent="0.25">
      <c r="C33" s="88" t="str">
        <f>pm_chrt_data!A8</f>
        <v>Population Figures from : Cohort Population Metrics (Foundry)</v>
      </c>
    </row>
    <row r="34" spans="3:3" x14ac:dyDescent="0.25">
      <c r="C34" s="88" t="str">
        <f>"Days Remaining : "&amp;pm_chrt_data!$C$3&amp;"     (including "&amp;TEXT(pm_chrt_data!C1+1,"ddd dd mmm")&amp;" and "&amp;TEXT(pm_chrt_data!$C$2,"dd mmm")&amp;")"</f>
        <v>Days Remaining : 99     (including Mon 25 Oct and 31 Jan)</v>
      </c>
    </row>
    <row r="35" spans="3:3" x14ac:dyDescent="0.25">
      <c r="C35" s="88"/>
    </row>
  </sheetData>
  <sortState xmlns:xlrd2="http://schemas.microsoft.com/office/spreadsheetml/2017/richdata2" ref="C28:E34">
    <sortCondition ref="C28"/>
  </sortState>
  <conditionalFormatting sqref="I6 I18 I8 I10 I12 I14 I16">
    <cfRule type="dataBar" priority="6">
      <dataBar>
        <cfvo type="min"/>
        <cfvo type="num" val="0.75"/>
        <color theme="8" tint="0.79998168889431442"/>
      </dataBar>
      <extLst>
        <ext xmlns:x14="http://schemas.microsoft.com/office/spreadsheetml/2009/9/main" uri="{B025F937-C7B1-47D3-B67F-A62EFF666E3E}">
          <x14:id>{6E3B0F8F-7FE7-4874-866F-AC8C850D4E1E}</x14:id>
        </ext>
      </extLst>
    </cfRule>
  </conditionalFormatting>
  <conditionalFormatting sqref="I23:I30">
    <cfRule type="dataBar" priority="2">
      <dataBar>
        <cfvo type="min"/>
        <cfvo type="num" val="0.75"/>
        <color theme="3" tint="0.79998168889431442"/>
      </dataBar>
      <extLst>
        <ext xmlns:x14="http://schemas.microsoft.com/office/spreadsheetml/2009/9/main" uri="{B025F937-C7B1-47D3-B67F-A62EFF666E3E}">
          <x14:id>{A7F9FBC7-1BCD-495B-9C61-469BC0BCC94B}</x14:id>
        </ext>
      </extLst>
    </cfRule>
  </conditionalFormatting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E3B0F8F-7FE7-4874-866F-AC8C850D4E1E}">
            <x14:dataBar minLength="0" maxLength="100" gradient="0" direction="leftToRight">
              <x14:cfvo type="autoMin"/>
              <x14:cfvo type="num">
                <xm:f>0.75</xm:f>
              </x14:cfvo>
              <x14:negativeFillColor rgb="FFFF0000"/>
              <x14:axisColor rgb="FF000000"/>
            </x14:dataBar>
          </x14:cfRule>
          <xm:sqref>I6 I18 I8 I10 I12 I14 I16</xm:sqref>
        </x14:conditionalFormatting>
        <x14:conditionalFormatting xmlns:xm="http://schemas.microsoft.com/office/excel/2006/main">
          <x14:cfRule type="dataBar" id="{A7F9FBC7-1BCD-495B-9C61-469BC0BCC94B}">
            <x14:dataBar minLength="0" maxLength="100" gradient="0" direction="leftToRight">
              <x14:cfvo type="autoMin"/>
              <x14:cfvo type="num">
                <xm:f>0.75</xm:f>
              </x14:cfvo>
              <x14:negativeFillColor rgb="FFFF0000"/>
              <x14:axisColor rgb="FF000000"/>
            </x14:dataBar>
          </x14:cfRule>
          <xm:sqref>I23:I30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C3014-1CA0-4216-B646-C3DEF4979E0E}">
  <sheetPr>
    <tabColor theme="0"/>
  </sheetPr>
  <dimension ref="B1:AA48"/>
  <sheetViews>
    <sheetView showGridLines="0" zoomScale="90" zoomScaleNormal="90" workbookViewId="0">
      <pane ySplit="5" topLeftCell="A6" activePane="bottomLeft" state="frozen"/>
      <selection activeCell="A87" sqref="A87"/>
      <selection pane="bottomLeft" activeCell="D46" sqref="D46"/>
    </sheetView>
  </sheetViews>
  <sheetFormatPr defaultColWidth="9.140625" defaultRowHeight="12.75" x14ac:dyDescent="0.2"/>
  <cols>
    <col min="1" max="1" width="5.5703125" style="16" customWidth="1"/>
    <col min="2" max="2" width="10.5703125" style="17" customWidth="1"/>
    <col min="3" max="3" width="13" style="17" customWidth="1"/>
    <col min="4" max="23" width="9.140625" style="16"/>
    <col min="24" max="24" width="34.5703125" style="16" customWidth="1"/>
    <col min="25" max="25" width="14.140625" style="16" customWidth="1"/>
    <col min="26" max="26" width="12" style="16" bestFit="1" customWidth="1"/>
    <col min="27" max="16384" width="9.140625" style="16"/>
  </cols>
  <sheetData>
    <row r="1" spans="2:27" ht="18.75" x14ac:dyDescent="0.3">
      <c r="B1" s="97" t="s">
        <v>124</v>
      </c>
    </row>
    <row r="3" spans="2:27" ht="15" x14ac:dyDescent="0.25">
      <c r="B3"/>
      <c r="C3"/>
      <c r="D3"/>
      <c r="E3"/>
      <c r="F3"/>
      <c r="G3"/>
      <c r="H3"/>
      <c r="I3"/>
      <c r="M3" s="68" t="str">
        <f>"Population at "&amp;TEXT(pm_chrt_data!C1,"dd-mmm")</f>
        <v>Population at 24-Oct</v>
      </c>
      <c r="N3" s="62">
        <f>pm_chrt_data!D77</f>
        <v>1604089</v>
      </c>
      <c r="Q3" s="68" t="s">
        <v>125</v>
      </c>
      <c r="R3" s="62">
        <f ca="1">INDEX(pm_chrt_data!$N$55:$N$61,MATCH(C4,pm_chrt_data!$C$55:$C$61,0))</f>
        <v>842245</v>
      </c>
      <c r="T3" s="68" t="s">
        <v>62</v>
      </c>
      <c r="U3" s="62">
        <f ca="1">$N$4-$R$3</f>
        <v>761844</v>
      </c>
      <c r="X3" s="160" t="s">
        <v>133</v>
      </c>
      <c r="Y3" s="161">
        <f ca="1">((Y15*pm_chrt_data!C4)-R3)/pm_chrt_data!C3</f>
        <v>31648.81818181818</v>
      </c>
    </row>
    <row r="4" spans="2:27" ht="15" x14ac:dyDescent="0.2">
      <c r="B4" s="96" t="s">
        <v>102</v>
      </c>
      <c r="C4" s="162" t="s">
        <v>17</v>
      </c>
      <c r="D4" s="162"/>
      <c r="E4" s="162"/>
      <c r="F4" s="162"/>
      <c r="G4" s="162"/>
      <c r="H4" s="162"/>
      <c r="M4" s="68" t="str">
        <f>TEXT(pm_chrt_data!C4,"#%")&amp;" Target based on population at "&amp;TEXT(pm_chrt_data!C1,"dd-mmm")</f>
        <v>100% Target based on population at 24-Oct</v>
      </c>
      <c r="N4" s="62">
        <f>N3*pm_chrt_data!C4</f>
        <v>1604089</v>
      </c>
      <c r="Q4" s="68" t="s">
        <v>63</v>
      </c>
      <c r="R4" s="67">
        <f ca="1">$R$3/$N$3</f>
        <v>0.52506126530385788</v>
      </c>
      <c r="X4" s="62"/>
      <c r="AA4" s="60"/>
    </row>
    <row r="5" spans="2:27" ht="15" x14ac:dyDescent="0.25">
      <c r="B5"/>
      <c r="C5"/>
      <c r="D5"/>
      <c r="E5"/>
      <c r="F5"/>
      <c r="G5"/>
      <c r="H5"/>
      <c r="I5"/>
      <c r="Y5" s="62"/>
    </row>
    <row r="12" spans="2:27" x14ac:dyDescent="0.2">
      <c r="X12" s="86" t="str">
        <f>"Most recent 7 Days Average Projection to COP "&amp;TEXT(pm_chrt_data!C2,"dd-mmm")</f>
        <v>Most recent 7 Days Average Projection to COP 31-Jan</v>
      </c>
    </row>
    <row r="14" spans="2:27" x14ac:dyDescent="0.2">
      <c r="X14" s="85" t="s">
        <v>105</v>
      </c>
      <c r="Y14" s="95">
        <f ca="1">INDEX(pm_chrt_data!$E$55:$E$61,MATCH(C4,pm_chrt_data!$C$55:$C$61,0))</f>
        <v>34667</v>
      </c>
    </row>
    <row r="15" spans="2:27" x14ac:dyDescent="0.2">
      <c r="X15" s="85" t="str">
        <f>"Projected eligible population by "&amp;TEXT(pm_chrt_data!C2,"dd-mmm")</f>
        <v>Projected eligible population by 31-Jan</v>
      </c>
      <c r="Y15" s="95">
        <f>INDEX('Phase 3 demand profiles'!$14:$20,MATCH('Trend Chart'!C$4,'Phase 3 demand profiles'!$B$14:$B$20,0),MATCH(pm_chrt_data!$C$2,'Phase 3 demand profiles'!$4:$4,0))</f>
        <v>3975478</v>
      </c>
    </row>
    <row r="17" spans="23:26" x14ac:dyDescent="0.2">
      <c r="X17" s="85" t="s">
        <v>111</v>
      </c>
      <c r="Y17" s="87"/>
    </row>
    <row r="18" spans="23:26" x14ac:dyDescent="0.2">
      <c r="X18" s="92" t="s">
        <v>110</v>
      </c>
      <c r="Y18" s="93">
        <f ca="1">(Y14*pm_chrt_data!C3)+R3</f>
        <v>4274278</v>
      </c>
    </row>
    <row r="19" spans="23:26" x14ac:dyDescent="0.2">
      <c r="X19" s="92" t="s">
        <v>109</v>
      </c>
      <c r="Y19" s="94">
        <f ca="1">Y18/Y15</f>
        <v>1.0751607731196098</v>
      </c>
    </row>
    <row r="20" spans="23:26" x14ac:dyDescent="0.2">
      <c r="X20" s="17"/>
    </row>
    <row r="21" spans="23:26" x14ac:dyDescent="0.2">
      <c r="X21" s="17" t="s">
        <v>108</v>
      </c>
      <c r="Y21" s="62">
        <f ca="1">Y15-Y18</f>
        <v>-298800</v>
      </c>
    </row>
    <row r="23" spans="23:26" x14ac:dyDescent="0.2">
      <c r="Y23" s="59"/>
      <c r="Z23" s="77"/>
    </row>
    <row r="24" spans="23:26" x14ac:dyDescent="0.2">
      <c r="W24" s="158" t="str">
        <f>_xlfn.CONCAT("Cumulative booster eligible population, events and uptake rate - ")&amp;C4</f>
        <v>Cumulative booster eligible population, events and uptake rate - SE</v>
      </c>
      <c r="Y24" s="78"/>
      <c r="Z24" s="79"/>
    </row>
    <row r="25" spans="23:26" x14ac:dyDescent="0.2">
      <c r="X25" s="86"/>
    </row>
    <row r="27" spans="23:26" x14ac:dyDescent="0.2">
      <c r="X27" s="85"/>
      <c r="Y27" s="95"/>
    </row>
    <row r="28" spans="23:26" x14ac:dyDescent="0.2">
      <c r="X28" s="17"/>
    </row>
    <row r="29" spans="23:26" x14ac:dyDescent="0.2">
      <c r="X29" s="85"/>
      <c r="Y29" s="87"/>
    </row>
    <row r="30" spans="23:26" x14ac:dyDescent="0.2">
      <c r="X30" s="92"/>
      <c r="Y30" s="93"/>
    </row>
    <row r="31" spans="23:26" x14ac:dyDescent="0.2">
      <c r="X31" s="92"/>
      <c r="Y31" s="94"/>
    </row>
    <row r="32" spans="23:26" x14ac:dyDescent="0.2">
      <c r="X32" s="17"/>
    </row>
    <row r="33" spans="2:25" x14ac:dyDescent="0.2">
      <c r="X33" s="17"/>
      <c r="Y33" s="62"/>
    </row>
    <row r="41" spans="2:25" x14ac:dyDescent="0.2">
      <c r="B41" s="88" t="s">
        <v>131</v>
      </c>
    </row>
    <row r="43" spans="2:25" x14ac:dyDescent="0.2">
      <c r="B43" s="17" t="str">
        <f>"* Daily averaged required is calculated based on achieving the "&amp;TEXT(pm_chrt_data!C4,"0%")&amp;" uptake target of the projected eligible population at "&amp;TEXT(pm_chrt_data!C2,"dd-mmm")</f>
        <v>* Daily averaged required is calculated based on achieving the 100% uptake target of the projected eligible population at 31-Jan</v>
      </c>
      <c r="X43" s="59"/>
      <c r="Y43" s="62"/>
    </row>
    <row r="44" spans="2:25" x14ac:dyDescent="0.2">
      <c r="X44" s="59"/>
      <c r="Y44" s="62"/>
    </row>
    <row r="45" spans="2:25" x14ac:dyDescent="0.2">
      <c r="X45" s="59"/>
      <c r="Y45" s="62"/>
    </row>
    <row r="46" spans="2:25" x14ac:dyDescent="0.2">
      <c r="X46" s="59"/>
    </row>
    <row r="47" spans="2:25" x14ac:dyDescent="0.2">
      <c r="X47" s="64"/>
      <c r="Y47" s="63"/>
    </row>
    <row r="48" spans="2:25" x14ac:dyDescent="0.2">
      <c r="X48" s="65"/>
      <c r="Y48" s="66"/>
    </row>
  </sheetData>
  <mergeCells count="1">
    <mergeCell ref="C4:H4"/>
  </mergeCells>
  <pageMargins left="0.7" right="0.7" top="0.75" bottom="0.75" header="0.3" footer="0.3"/>
  <pageSetup paperSize="9"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0180C5-E89C-4457-A8B3-167D349B765D}">
          <x14:formula1>
            <xm:f>pm_chrt_data!$C$11:$C$17</xm:f>
          </x14:formula1>
          <xm:sqref>C4:H4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244F2-03C3-4A0F-AF40-F0A9B7C7E10C}">
  <sheetPr>
    <tabColor theme="1"/>
  </sheetPr>
  <dimension ref="A1:CQ137"/>
  <sheetViews>
    <sheetView zoomScale="85" zoomScaleNormal="85" workbookViewId="0">
      <selection activeCell="C3" sqref="C3"/>
    </sheetView>
  </sheetViews>
  <sheetFormatPr defaultColWidth="0" defaultRowHeight="15" x14ac:dyDescent="0.25"/>
  <cols>
    <col min="1" max="1" width="34.85546875" bestFit="1" customWidth="1"/>
    <col min="2" max="2" width="9.140625" customWidth="1"/>
    <col min="3" max="3" width="53.42578125" customWidth="1"/>
    <col min="4" max="4" width="16.5703125" customWidth="1"/>
    <col min="5" max="5" width="11.85546875" customWidth="1"/>
    <col min="6" max="49" width="15.42578125" customWidth="1"/>
    <col min="50" max="73" width="15.42578125" hidden="1" customWidth="1"/>
    <col min="74" max="74" width="12" hidden="1" customWidth="1"/>
    <col min="75" max="95" width="12" hidden="1"/>
  </cols>
  <sheetData>
    <row r="1" spans="1:74" x14ac:dyDescent="0.25">
      <c r="A1" t="s">
        <v>22</v>
      </c>
      <c r="C1" s="1">
        <f>MAX(PM_Daily_Data!2:2)</f>
        <v>44493</v>
      </c>
      <c r="E1" t="str">
        <f>"Booster penetration ("&amp;C5&amp;") - "&amp;IF(C77="SE","South East",C77)</f>
        <v>Booster penetration (All cohorts) - South East</v>
      </c>
    </row>
    <row r="2" spans="1:74" x14ac:dyDescent="0.25">
      <c r="A2" t="s">
        <v>20</v>
      </c>
      <c r="C2" s="6">
        <v>44592</v>
      </c>
      <c r="D2" t="s">
        <v>81</v>
      </c>
    </row>
    <row r="3" spans="1:74" x14ac:dyDescent="0.25">
      <c r="A3" t="s">
        <v>23</v>
      </c>
      <c r="C3">
        <f>C2-C1</f>
        <v>99</v>
      </c>
    </row>
    <row r="4" spans="1:74" x14ac:dyDescent="0.25">
      <c r="A4" t="s">
        <v>21</v>
      </c>
      <c r="C4" s="74">
        <v>1</v>
      </c>
      <c r="D4" t="s">
        <v>82</v>
      </c>
    </row>
    <row r="5" spans="1:74" x14ac:dyDescent="0.25">
      <c r="A5" t="s">
        <v>112</v>
      </c>
      <c r="C5" s="3" t="s">
        <v>121</v>
      </c>
    </row>
    <row r="6" spans="1:74" x14ac:dyDescent="0.25">
      <c r="A6" t="s">
        <v>15</v>
      </c>
      <c r="C6" s="3" t="s">
        <v>120</v>
      </c>
    </row>
    <row r="7" spans="1:74" x14ac:dyDescent="0.25">
      <c r="C7" s="3"/>
    </row>
    <row r="8" spans="1:74" x14ac:dyDescent="0.25">
      <c r="A8" t="str">
        <f>"Population Figures from : "&amp;C6</f>
        <v>Population Figures from : Cohort Population Metrics (Foundry)</v>
      </c>
      <c r="E8" s="2" t="s">
        <v>18</v>
      </c>
    </row>
    <row r="9" spans="1:74" x14ac:dyDescent="0.25">
      <c r="A9" s="2"/>
      <c r="B9" s="2"/>
    </row>
    <row r="10" spans="1:74" x14ac:dyDescent="0.25">
      <c r="C10" s="10" t="s">
        <v>0</v>
      </c>
      <c r="D10" s="10" t="s">
        <v>16</v>
      </c>
      <c r="E10" s="1">
        <v>44452</v>
      </c>
      <c r="F10" s="1">
        <f>E10+1</f>
        <v>44453</v>
      </c>
      <c r="G10" s="1">
        <f>F10+1</f>
        <v>44454</v>
      </c>
      <c r="H10" s="1">
        <f t="shared" ref="H10:BU10" si="0">G10+1</f>
        <v>44455</v>
      </c>
      <c r="I10" s="1">
        <f t="shared" si="0"/>
        <v>44456</v>
      </c>
      <c r="J10" s="1">
        <f t="shared" si="0"/>
        <v>44457</v>
      </c>
      <c r="K10" s="1">
        <f t="shared" si="0"/>
        <v>44458</v>
      </c>
      <c r="L10" s="1">
        <f t="shared" si="0"/>
        <v>44459</v>
      </c>
      <c r="M10" s="1">
        <f t="shared" si="0"/>
        <v>44460</v>
      </c>
      <c r="N10" s="1">
        <f t="shared" si="0"/>
        <v>44461</v>
      </c>
      <c r="O10" s="1">
        <f t="shared" si="0"/>
        <v>44462</v>
      </c>
      <c r="P10" s="1">
        <f t="shared" si="0"/>
        <v>44463</v>
      </c>
      <c r="Q10" s="1">
        <f t="shared" si="0"/>
        <v>44464</v>
      </c>
      <c r="R10" s="1">
        <f t="shared" si="0"/>
        <v>44465</v>
      </c>
      <c r="S10" s="1">
        <f t="shared" si="0"/>
        <v>44466</v>
      </c>
      <c r="T10" s="1">
        <f t="shared" si="0"/>
        <v>44467</v>
      </c>
      <c r="U10" s="1">
        <f t="shared" si="0"/>
        <v>44468</v>
      </c>
      <c r="V10" s="1">
        <f t="shared" si="0"/>
        <v>44469</v>
      </c>
      <c r="W10" s="1">
        <f t="shared" si="0"/>
        <v>44470</v>
      </c>
      <c r="X10" s="1">
        <f t="shared" si="0"/>
        <v>44471</v>
      </c>
      <c r="Y10" s="1">
        <f t="shared" si="0"/>
        <v>44472</v>
      </c>
      <c r="Z10" s="1">
        <f t="shared" si="0"/>
        <v>44473</v>
      </c>
      <c r="AA10" s="1">
        <f t="shared" si="0"/>
        <v>44474</v>
      </c>
      <c r="AB10" s="1">
        <f t="shared" si="0"/>
        <v>44475</v>
      </c>
      <c r="AC10" s="1">
        <f t="shared" si="0"/>
        <v>44476</v>
      </c>
      <c r="AD10" s="1">
        <f t="shared" si="0"/>
        <v>44477</v>
      </c>
      <c r="AE10" s="1">
        <f t="shared" si="0"/>
        <v>44478</v>
      </c>
      <c r="AF10" s="1">
        <f t="shared" si="0"/>
        <v>44479</v>
      </c>
      <c r="AG10" s="1">
        <f t="shared" si="0"/>
        <v>44480</v>
      </c>
      <c r="AH10" s="1">
        <f t="shared" si="0"/>
        <v>44481</v>
      </c>
      <c r="AI10" s="1">
        <f t="shared" si="0"/>
        <v>44482</v>
      </c>
      <c r="AJ10" s="1">
        <f t="shared" si="0"/>
        <v>44483</v>
      </c>
      <c r="AK10" s="1">
        <f t="shared" ref="AK10" si="1">AJ10+1</f>
        <v>44484</v>
      </c>
      <c r="AL10" s="1">
        <f t="shared" ref="AL10" si="2">AK10+1</f>
        <v>44485</v>
      </c>
      <c r="AM10" s="1">
        <f t="shared" ref="AM10" si="3">AL10+1</f>
        <v>44486</v>
      </c>
      <c r="AN10" s="1">
        <f t="shared" ref="AN10" si="4">AM10+1</f>
        <v>44487</v>
      </c>
      <c r="AO10" s="1">
        <f t="shared" ref="AO10" si="5">AN10+1</f>
        <v>44488</v>
      </c>
      <c r="AP10" s="1">
        <f t="shared" ref="AP10" si="6">AO10+1</f>
        <v>44489</v>
      </c>
      <c r="AQ10" s="1">
        <f t="shared" ref="AQ10" si="7">AP10+1</f>
        <v>44490</v>
      </c>
      <c r="AR10" s="1">
        <f t="shared" ref="AR10" si="8">AQ10+1</f>
        <v>44491</v>
      </c>
      <c r="AS10" s="1">
        <f t="shared" ref="AS10" si="9">AR10+1</f>
        <v>44492</v>
      </c>
      <c r="AT10" s="1">
        <f t="shared" ref="AT10" si="10">AS10+1</f>
        <v>44493</v>
      </c>
      <c r="AU10" s="1"/>
      <c r="AV10" s="1"/>
      <c r="AW10" s="1"/>
      <c r="AX10" s="1">
        <f t="shared" si="0"/>
        <v>1</v>
      </c>
      <c r="AY10" s="1">
        <f t="shared" si="0"/>
        <v>2</v>
      </c>
      <c r="AZ10" s="1">
        <f t="shared" si="0"/>
        <v>3</v>
      </c>
      <c r="BA10" s="1">
        <f t="shared" si="0"/>
        <v>4</v>
      </c>
      <c r="BB10" s="1">
        <f t="shared" si="0"/>
        <v>5</v>
      </c>
      <c r="BC10" s="1">
        <f t="shared" si="0"/>
        <v>6</v>
      </c>
      <c r="BD10" s="1">
        <f t="shared" si="0"/>
        <v>7</v>
      </c>
      <c r="BE10" s="1">
        <f t="shared" si="0"/>
        <v>8</v>
      </c>
      <c r="BF10" s="1">
        <f t="shared" si="0"/>
        <v>9</v>
      </c>
      <c r="BG10" s="1">
        <f t="shared" si="0"/>
        <v>10</v>
      </c>
      <c r="BH10" s="1">
        <f t="shared" si="0"/>
        <v>11</v>
      </c>
      <c r="BI10" s="1">
        <f t="shared" si="0"/>
        <v>12</v>
      </c>
      <c r="BJ10" s="1">
        <f t="shared" si="0"/>
        <v>13</v>
      </c>
      <c r="BK10" s="1">
        <f t="shared" si="0"/>
        <v>14</v>
      </c>
      <c r="BL10" s="1">
        <f t="shared" si="0"/>
        <v>15</v>
      </c>
      <c r="BM10" s="1">
        <f t="shared" si="0"/>
        <v>16</v>
      </c>
      <c r="BN10" s="1">
        <f t="shared" si="0"/>
        <v>17</v>
      </c>
      <c r="BO10" s="1">
        <f t="shared" si="0"/>
        <v>18</v>
      </c>
      <c r="BP10" s="1">
        <f t="shared" si="0"/>
        <v>19</v>
      </c>
      <c r="BQ10" s="1">
        <f t="shared" si="0"/>
        <v>20</v>
      </c>
      <c r="BR10" s="1">
        <f t="shared" si="0"/>
        <v>21</v>
      </c>
      <c r="BS10" s="1">
        <f t="shared" si="0"/>
        <v>22</v>
      </c>
      <c r="BT10" s="1">
        <f t="shared" si="0"/>
        <v>23</v>
      </c>
      <c r="BU10" s="1">
        <f t="shared" si="0"/>
        <v>24</v>
      </c>
      <c r="BV10" s="1"/>
    </row>
    <row r="11" spans="1:74" s="12" customFormat="1" x14ac:dyDescent="0.25">
      <c r="A11" s="13"/>
      <c r="B11" s="13" t="s">
        <v>11</v>
      </c>
      <c r="C11" s="11" t="s">
        <v>10</v>
      </c>
      <c r="D11" s="11" t="s">
        <v>122</v>
      </c>
      <c r="E11" s="12">
        <f t="shared" ref="E11:N16" ca="1" si="11">INDEX(pm_c_1_Val,MATCH($C11,pm_c_2_Row,0),MATCH(E$10,pm_c_3_Col,0))</f>
        <v>1</v>
      </c>
      <c r="F11" s="12">
        <f t="shared" ca="1" si="11"/>
        <v>9</v>
      </c>
      <c r="G11" s="12">
        <f t="shared" ca="1" si="11"/>
        <v>193</v>
      </c>
      <c r="H11" s="12">
        <f t="shared" ca="1" si="11"/>
        <v>447</v>
      </c>
      <c r="I11" s="12">
        <f t="shared" ca="1" si="11"/>
        <v>675</v>
      </c>
      <c r="J11" s="12">
        <f t="shared" ca="1" si="11"/>
        <v>1219</v>
      </c>
      <c r="K11" s="12">
        <f t="shared" ca="1" si="11"/>
        <v>1220</v>
      </c>
      <c r="L11" s="12">
        <f t="shared" ca="1" si="11"/>
        <v>1231</v>
      </c>
      <c r="M11" s="12">
        <f t="shared" ca="1" si="11"/>
        <v>1352</v>
      </c>
      <c r="N11" s="12">
        <f t="shared" ca="1" si="11"/>
        <v>3165</v>
      </c>
      <c r="O11" s="12">
        <f t="shared" ref="O11:AD16" ca="1" si="12">INDEX(pm_c_1_Val,MATCH($C11,pm_c_2_Row,0),MATCH(O$10,pm_c_3_Col,0))</f>
        <v>5457</v>
      </c>
      <c r="P11" s="12">
        <f t="shared" ca="1" si="12"/>
        <v>7769</v>
      </c>
      <c r="Q11" s="12">
        <f t="shared" ca="1" si="12"/>
        <v>10896</v>
      </c>
      <c r="R11" s="12">
        <f t="shared" ca="1" si="12"/>
        <v>12226</v>
      </c>
      <c r="S11" s="12">
        <f t="shared" ca="1" si="12"/>
        <v>14056</v>
      </c>
      <c r="T11" s="12">
        <f t="shared" ca="1" si="12"/>
        <v>15551</v>
      </c>
      <c r="U11" s="12">
        <f t="shared" ca="1" si="12"/>
        <v>18112</v>
      </c>
      <c r="V11" s="12">
        <f t="shared" ca="1" si="12"/>
        <v>21089</v>
      </c>
      <c r="W11" s="12">
        <f t="shared" ca="1" si="12"/>
        <v>26806</v>
      </c>
      <c r="X11" s="12">
        <f t="shared" ca="1" si="12"/>
        <v>33469</v>
      </c>
      <c r="Y11" s="12">
        <f t="shared" ca="1" si="12"/>
        <v>34760</v>
      </c>
      <c r="Z11" s="12">
        <f t="shared" ca="1" si="12"/>
        <v>37234</v>
      </c>
      <c r="AA11" s="12">
        <f t="shared" ca="1" si="12"/>
        <v>40336</v>
      </c>
      <c r="AB11" s="12">
        <f t="shared" ca="1" si="12"/>
        <v>46124</v>
      </c>
      <c r="AC11" s="12">
        <f t="shared" ca="1" si="12"/>
        <v>50875</v>
      </c>
      <c r="AD11" s="12">
        <f t="shared" ca="1" si="12"/>
        <v>56168</v>
      </c>
      <c r="AE11" s="12">
        <f t="shared" ref="AC11:AT16" ca="1" si="13">INDEX(pm_c_1_Val,MATCH($C11,pm_c_2_Row,0),MATCH(AE$10,pm_c_3_Col,0))</f>
        <v>66078</v>
      </c>
      <c r="AF11" s="12">
        <f t="shared" ca="1" si="13"/>
        <v>67852</v>
      </c>
      <c r="AG11" s="12">
        <f t="shared" ca="1" si="13"/>
        <v>70593</v>
      </c>
      <c r="AH11" s="12">
        <f t="shared" ca="1" si="13"/>
        <v>75465</v>
      </c>
      <c r="AI11" s="12">
        <f t="shared" ca="1" si="13"/>
        <v>81879</v>
      </c>
      <c r="AJ11" s="12">
        <f t="shared" ca="1" si="13"/>
        <v>88367</v>
      </c>
      <c r="AK11" s="12">
        <f t="shared" ca="1" si="13"/>
        <v>94484</v>
      </c>
      <c r="AL11" s="12">
        <f t="shared" ca="1" si="13"/>
        <v>105462</v>
      </c>
      <c r="AM11" s="12">
        <f t="shared" ca="1" si="13"/>
        <v>107611</v>
      </c>
      <c r="AN11" s="12">
        <f t="shared" ca="1" si="13"/>
        <v>110773</v>
      </c>
      <c r="AO11" s="12">
        <f t="shared" ca="1" si="13"/>
        <v>116032</v>
      </c>
      <c r="AP11" s="12">
        <f t="shared" ca="1" si="13"/>
        <v>123640</v>
      </c>
      <c r="AQ11" s="12">
        <f t="shared" ca="1" si="13"/>
        <v>129774</v>
      </c>
      <c r="AR11" s="12">
        <f t="shared" ca="1" si="13"/>
        <v>137670</v>
      </c>
      <c r="AS11" s="12">
        <f t="shared" ca="1" si="13"/>
        <v>148195</v>
      </c>
      <c r="AT11" s="12">
        <f t="shared" ca="1" si="13"/>
        <v>151282</v>
      </c>
    </row>
    <row r="12" spans="1:74" s="12" customFormat="1" x14ac:dyDescent="0.25">
      <c r="A12" s="13"/>
      <c r="B12" s="13" t="s">
        <v>3</v>
      </c>
      <c r="C12" s="11" t="s">
        <v>2</v>
      </c>
      <c r="D12" s="11" t="s">
        <v>122</v>
      </c>
      <c r="E12" s="12">
        <f t="shared" ca="1" si="11"/>
        <v>0</v>
      </c>
      <c r="F12" s="12">
        <f t="shared" ca="1" si="11"/>
        <v>5</v>
      </c>
      <c r="G12" s="12">
        <f t="shared" ca="1" si="11"/>
        <v>6</v>
      </c>
      <c r="H12" s="12">
        <f t="shared" ca="1" si="11"/>
        <v>28</v>
      </c>
      <c r="I12" s="12">
        <f t="shared" ca="1" si="11"/>
        <v>82</v>
      </c>
      <c r="J12" s="12">
        <f t="shared" ca="1" si="11"/>
        <v>140</v>
      </c>
      <c r="K12" s="12">
        <f t="shared" ca="1" si="11"/>
        <v>140</v>
      </c>
      <c r="L12" s="12">
        <f t="shared" ca="1" si="11"/>
        <v>239</v>
      </c>
      <c r="M12" s="12">
        <f t="shared" ca="1" si="11"/>
        <v>517</v>
      </c>
      <c r="N12" s="12">
        <f t="shared" ca="1" si="11"/>
        <v>2103</v>
      </c>
      <c r="O12" s="12">
        <f t="shared" ca="1" si="12"/>
        <v>3344</v>
      </c>
      <c r="P12" s="12">
        <f t="shared" ca="1" si="12"/>
        <v>4463</v>
      </c>
      <c r="Q12" s="12">
        <f t="shared" ca="1" si="12"/>
        <v>6710</v>
      </c>
      <c r="R12" s="12">
        <f t="shared" ca="1" si="12"/>
        <v>7353</v>
      </c>
      <c r="S12" s="12">
        <f t="shared" ca="1" si="12"/>
        <v>8061</v>
      </c>
      <c r="T12" s="12">
        <f t="shared" ca="1" si="12"/>
        <v>10403</v>
      </c>
      <c r="U12" s="12">
        <f t="shared" ca="1" si="12"/>
        <v>13267</v>
      </c>
      <c r="V12" s="12">
        <f t="shared" ca="1" si="12"/>
        <v>15881</v>
      </c>
      <c r="W12" s="12">
        <f t="shared" ca="1" si="12"/>
        <v>18685</v>
      </c>
      <c r="X12" s="12">
        <f t="shared" ca="1" si="12"/>
        <v>21372</v>
      </c>
      <c r="Y12" s="12">
        <f t="shared" ca="1" si="12"/>
        <v>22680</v>
      </c>
      <c r="Z12" s="12">
        <f t="shared" ca="1" si="12"/>
        <v>24367</v>
      </c>
      <c r="AA12" s="12">
        <f t="shared" ca="1" si="12"/>
        <v>27627</v>
      </c>
      <c r="AB12" s="12">
        <f t="shared" ca="1" si="12"/>
        <v>30927</v>
      </c>
      <c r="AC12" s="12">
        <f t="shared" ca="1" si="13"/>
        <v>33780</v>
      </c>
      <c r="AD12" s="12">
        <f t="shared" ca="1" si="13"/>
        <v>36659</v>
      </c>
      <c r="AE12" s="12">
        <f t="shared" ca="1" si="13"/>
        <v>40778</v>
      </c>
      <c r="AF12" s="12">
        <f t="shared" ca="1" si="13"/>
        <v>41820</v>
      </c>
      <c r="AG12" s="12">
        <f t="shared" ca="1" si="13"/>
        <v>43974</v>
      </c>
      <c r="AH12" s="12">
        <f t="shared" ca="1" si="13"/>
        <v>47616</v>
      </c>
      <c r="AI12" s="12">
        <f t="shared" ca="1" si="13"/>
        <v>50438</v>
      </c>
      <c r="AJ12" s="12">
        <f t="shared" ca="1" si="13"/>
        <v>54054</v>
      </c>
      <c r="AK12" s="12">
        <f t="shared" ca="1" si="13"/>
        <v>56091</v>
      </c>
      <c r="AL12" s="12">
        <f t="shared" ca="1" si="13"/>
        <v>58901</v>
      </c>
      <c r="AM12" s="12">
        <f t="shared" ca="1" si="13"/>
        <v>60360</v>
      </c>
      <c r="AN12" s="12">
        <f t="shared" ca="1" si="13"/>
        <v>62644</v>
      </c>
      <c r="AO12" s="12">
        <f t="shared" ca="1" si="13"/>
        <v>66477</v>
      </c>
      <c r="AP12" s="12">
        <f t="shared" ca="1" si="13"/>
        <v>69685</v>
      </c>
      <c r="AQ12" s="12">
        <f t="shared" ca="1" si="13"/>
        <v>72804</v>
      </c>
      <c r="AR12" s="12">
        <f t="shared" ca="1" si="13"/>
        <v>75103</v>
      </c>
      <c r="AS12" s="12">
        <f t="shared" ca="1" si="13"/>
        <v>79938</v>
      </c>
      <c r="AT12" s="12">
        <f t="shared" ca="1" si="13"/>
        <v>81280</v>
      </c>
    </row>
    <row r="13" spans="1:74" s="12" customFormat="1" x14ac:dyDescent="0.25">
      <c r="A13" s="13"/>
      <c r="B13" s="13" t="s">
        <v>7</v>
      </c>
      <c r="C13" s="11" t="s">
        <v>6</v>
      </c>
      <c r="D13" s="11" t="s">
        <v>122</v>
      </c>
      <c r="E13" s="12">
        <f t="shared" ca="1" si="11"/>
        <v>8</v>
      </c>
      <c r="F13" s="12">
        <f t="shared" ca="1" si="11"/>
        <v>15</v>
      </c>
      <c r="G13" s="12">
        <f t="shared" ca="1" si="11"/>
        <v>19</v>
      </c>
      <c r="H13" s="12">
        <f t="shared" ca="1" si="11"/>
        <v>25</v>
      </c>
      <c r="I13" s="12">
        <f t="shared" ca="1" si="11"/>
        <v>170</v>
      </c>
      <c r="J13" s="12">
        <f t="shared" ca="1" si="11"/>
        <v>228</v>
      </c>
      <c r="K13" s="12">
        <f t="shared" ca="1" si="11"/>
        <v>312</v>
      </c>
      <c r="L13" s="12">
        <f t="shared" ca="1" si="11"/>
        <v>559</v>
      </c>
      <c r="M13" s="12">
        <f t="shared" ca="1" si="11"/>
        <v>922</v>
      </c>
      <c r="N13" s="12">
        <f t="shared" ca="1" si="11"/>
        <v>1786</v>
      </c>
      <c r="O13" s="12">
        <f t="shared" ca="1" si="12"/>
        <v>2842</v>
      </c>
      <c r="P13" s="12">
        <f t="shared" ca="1" si="12"/>
        <v>4990</v>
      </c>
      <c r="Q13" s="12">
        <f t="shared" ca="1" si="12"/>
        <v>6818</v>
      </c>
      <c r="R13" s="12">
        <f t="shared" ca="1" si="12"/>
        <v>8753</v>
      </c>
      <c r="S13" s="12">
        <f t="shared" ca="1" si="12"/>
        <v>12526</v>
      </c>
      <c r="T13" s="12">
        <f t="shared" ca="1" si="12"/>
        <v>16699</v>
      </c>
      <c r="U13" s="12">
        <f t="shared" ca="1" si="12"/>
        <v>20368</v>
      </c>
      <c r="V13" s="12">
        <f t="shared" ca="1" si="12"/>
        <v>25513</v>
      </c>
      <c r="W13" s="12">
        <f t="shared" ca="1" si="12"/>
        <v>30070</v>
      </c>
      <c r="X13" s="12">
        <f t="shared" ca="1" si="12"/>
        <v>39624</v>
      </c>
      <c r="Y13" s="12">
        <f t="shared" ca="1" si="12"/>
        <v>44677</v>
      </c>
      <c r="Z13" s="12">
        <f t="shared" ca="1" si="12"/>
        <v>49412</v>
      </c>
      <c r="AA13" s="12">
        <f t="shared" ca="1" si="12"/>
        <v>54516</v>
      </c>
      <c r="AB13" s="12">
        <f t="shared" ca="1" si="12"/>
        <v>61126</v>
      </c>
      <c r="AC13" s="12">
        <f t="shared" ca="1" si="13"/>
        <v>68486</v>
      </c>
      <c r="AD13" s="12">
        <f t="shared" ca="1" si="13"/>
        <v>73510</v>
      </c>
      <c r="AE13" s="12">
        <f t="shared" ca="1" si="13"/>
        <v>79312</v>
      </c>
      <c r="AF13" s="12">
        <f t="shared" ca="1" si="13"/>
        <v>82451</v>
      </c>
      <c r="AG13" s="12">
        <f t="shared" ca="1" si="13"/>
        <v>85830</v>
      </c>
      <c r="AH13" s="12">
        <f t="shared" ca="1" si="13"/>
        <v>91599</v>
      </c>
      <c r="AI13" s="12">
        <f t="shared" ca="1" si="13"/>
        <v>98516</v>
      </c>
      <c r="AJ13" s="12">
        <f t="shared" ca="1" si="13"/>
        <v>105993</v>
      </c>
      <c r="AK13" s="12">
        <f t="shared" ca="1" si="13"/>
        <v>112199</v>
      </c>
      <c r="AL13" s="12">
        <f t="shared" ca="1" si="13"/>
        <v>121046</v>
      </c>
      <c r="AM13" s="12">
        <f t="shared" ca="1" si="13"/>
        <v>124765</v>
      </c>
      <c r="AN13" s="12">
        <f t="shared" ca="1" si="13"/>
        <v>129796</v>
      </c>
      <c r="AO13" s="12">
        <f t="shared" ca="1" si="13"/>
        <v>134957</v>
      </c>
      <c r="AP13" s="12">
        <f t="shared" ca="1" si="13"/>
        <v>142179</v>
      </c>
      <c r="AQ13" s="12">
        <f t="shared" ca="1" si="13"/>
        <v>150386</v>
      </c>
      <c r="AR13" s="12">
        <f t="shared" ca="1" si="13"/>
        <v>159811</v>
      </c>
      <c r="AS13" s="12">
        <f t="shared" ca="1" si="13"/>
        <v>169632</v>
      </c>
      <c r="AT13" s="12">
        <f t="shared" ca="1" si="13"/>
        <v>174438</v>
      </c>
    </row>
    <row r="14" spans="1:74" s="12" customFormat="1" x14ac:dyDescent="0.25">
      <c r="A14" s="13"/>
      <c r="B14" s="13" t="s">
        <v>13</v>
      </c>
      <c r="C14" s="11" t="s">
        <v>12</v>
      </c>
      <c r="D14" s="11" t="s">
        <v>122</v>
      </c>
      <c r="E14" s="12">
        <f t="shared" ca="1" si="11"/>
        <v>4</v>
      </c>
      <c r="F14" s="12">
        <f t="shared" ca="1" si="11"/>
        <v>13</v>
      </c>
      <c r="G14" s="12">
        <f t="shared" ca="1" si="11"/>
        <v>57</v>
      </c>
      <c r="H14" s="12">
        <f t="shared" ca="1" si="11"/>
        <v>288</v>
      </c>
      <c r="I14" s="12">
        <f t="shared" ca="1" si="11"/>
        <v>454</v>
      </c>
      <c r="J14" s="12">
        <f t="shared" ca="1" si="11"/>
        <v>1066</v>
      </c>
      <c r="K14" s="12">
        <f t="shared" ca="1" si="11"/>
        <v>1167</v>
      </c>
      <c r="L14" s="12">
        <f t="shared" ca="1" si="11"/>
        <v>1245</v>
      </c>
      <c r="M14" s="12">
        <f t="shared" ca="1" si="11"/>
        <v>1599</v>
      </c>
      <c r="N14" s="12">
        <f t="shared" ca="1" si="11"/>
        <v>2446</v>
      </c>
      <c r="O14" s="12">
        <f t="shared" ca="1" si="12"/>
        <v>5175</v>
      </c>
      <c r="P14" s="12">
        <f t="shared" ca="1" si="12"/>
        <v>9273</v>
      </c>
      <c r="Q14" s="12">
        <f t="shared" ca="1" si="12"/>
        <v>13817</v>
      </c>
      <c r="R14" s="12">
        <f t="shared" ca="1" si="12"/>
        <v>16529</v>
      </c>
      <c r="S14" s="12">
        <f t="shared" ca="1" si="12"/>
        <v>17823</v>
      </c>
      <c r="T14" s="12">
        <f t="shared" ca="1" si="12"/>
        <v>21977</v>
      </c>
      <c r="U14" s="12">
        <f t="shared" ca="1" si="12"/>
        <v>23599</v>
      </c>
      <c r="V14" s="12">
        <f t="shared" ca="1" si="12"/>
        <v>27799</v>
      </c>
      <c r="W14" s="12">
        <f t="shared" ca="1" si="12"/>
        <v>31584</v>
      </c>
      <c r="X14" s="12">
        <f t="shared" ca="1" si="12"/>
        <v>40839</v>
      </c>
      <c r="Y14" s="12">
        <f t="shared" ca="1" si="12"/>
        <v>44579</v>
      </c>
      <c r="Z14" s="12">
        <f t="shared" ca="1" si="12"/>
        <v>47345</v>
      </c>
      <c r="AA14" s="12">
        <f t="shared" ca="1" si="12"/>
        <v>53515</v>
      </c>
      <c r="AB14" s="12">
        <f t="shared" ca="1" si="12"/>
        <v>56562</v>
      </c>
      <c r="AC14" s="12">
        <f t="shared" ca="1" si="13"/>
        <v>62063</v>
      </c>
      <c r="AD14" s="12">
        <f t="shared" ca="1" si="13"/>
        <v>66599</v>
      </c>
      <c r="AE14" s="12">
        <f t="shared" ca="1" si="13"/>
        <v>76034</v>
      </c>
      <c r="AF14" s="12">
        <f t="shared" ca="1" si="13"/>
        <v>79581</v>
      </c>
      <c r="AG14" s="12">
        <f t="shared" ca="1" si="13"/>
        <v>81885</v>
      </c>
      <c r="AH14" s="12">
        <f t="shared" ca="1" si="13"/>
        <v>87195</v>
      </c>
      <c r="AI14" s="12">
        <f t="shared" ca="1" si="13"/>
        <v>90681</v>
      </c>
      <c r="AJ14" s="12">
        <f t="shared" ca="1" si="13"/>
        <v>96664</v>
      </c>
      <c r="AK14" s="12">
        <f t="shared" ca="1" si="13"/>
        <v>101075</v>
      </c>
      <c r="AL14" s="12">
        <f t="shared" ca="1" si="13"/>
        <v>113501</v>
      </c>
      <c r="AM14" s="12">
        <f t="shared" ca="1" si="13"/>
        <v>117780</v>
      </c>
      <c r="AN14" s="12">
        <f t="shared" ca="1" si="13"/>
        <v>120538</v>
      </c>
      <c r="AO14" s="12">
        <f t="shared" ca="1" si="13"/>
        <v>127381</v>
      </c>
      <c r="AP14" s="12">
        <f t="shared" ca="1" si="13"/>
        <v>132071</v>
      </c>
      <c r="AQ14" s="12">
        <f t="shared" ca="1" si="13"/>
        <v>139935</v>
      </c>
      <c r="AR14" s="12">
        <f t="shared" ca="1" si="13"/>
        <v>145658</v>
      </c>
      <c r="AS14" s="12">
        <f t="shared" ca="1" si="13"/>
        <v>157324</v>
      </c>
      <c r="AT14" s="12">
        <f t="shared" ca="1" si="13"/>
        <v>162143</v>
      </c>
    </row>
    <row r="15" spans="1:74" s="12" customFormat="1" x14ac:dyDescent="0.25">
      <c r="A15" s="13"/>
      <c r="B15" s="13" t="s">
        <v>9</v>
      </c>
      <c r="C15" s="11" t="s">
        <v>8</v>
      </c>
      <c r="D15" s="11" t="s">
        <v>122</v>
      </c>
      <c r="E15" s="12">
        <f t="shared" ca="1" si="11"/>
        <v>0</v>
      </c>
      <c r="F15" s="12">
        <f t="shared" ca="1" si="11"/>
        <v>2</v>
      </c>
      <c r="G15" s="12">
        <f t="shared" ca="1" si="11"/>
        <v>107</v>
      </c>
      <c r="H15" s="12">
        <f t="shared" ca="1" si="11"/>
        <v>110</v>
      </c>
      <c r="I15" s="12">
        <f t="shared" ca="1" si="11"/>
        <v>115</v>
      </c>
      <c r="J15" s="12">
        <f t="shared" ca="1" si="11"/>
        <v>119</v>
      </c>
      <c r="K15" s="12">
        <f t="shared" ca="1" si="11"/>
        <v>127</v>
      </c>
      <c r="L15" s="12">
        <f t="shared" ca="1" si="11"/>
        <v>260</v>
      </c>
      <c r="M15" s="12">
        <f t="shared" ca="1" si="11"/>
        <v>590</v>
      </c>
      <c r="N15" s="12">
        <f t="shared" ca="1" si="11"/>
        <v>1000</v>
      </c>
      <c r="O15" s="12">
        <f t="shared" ca="1" si="12"/>
        <v>1696</v>
      </c>
      <c r="P15" s="12">
        <f t="shared" ca="1" si="12"/>
        <v>2643</v>
      </c>
      <c r="Q15" s="12">
        <f t="shared" ca="1" si="12"/>
        <v>4416</v>
      </c>
      <c r="R15" s="12">
        <f t="shared" ca="1" si="12"/>
        <v>4936</v>
      </c>
      <c r="S15" s="12">
        <f t="shared" ca="1" si="12"/>
        <v>5958</v>
      </c>
      <c r="T15" s="12">
        <f t="shared" ca="1" si="12"/>
        <v>7443</v>
      </c>
      <c r="U15" s="12">
        <f t="shared" ca="1" si="12"/>
        <v>9303</v>
      </c>
      <c r="V15" s="12">
        <f t="shared" ca="1" si="12"/>
        <v>12076</v>
      </c>
      <c r="W15" s="12">
        <f t="shared" ca="1" si="12"/>
        <v>15660</v>
      </c>
      <c r="X15" s="12">
        <f t="shared" ca="1" si="12"/>
        <v>19382</v>
      </c>
      <c r="Y15" s="12">
        <f t="shared" ca="1" si="12"/>
        <v>21017</v>
      </c>
      <c r="Z15" s="12">
        <f t="shared" ca="1" si="12"/>
        <v>23231</v>
      </c>
      <c r="AA15" s="12">
        <f t="shared" ca="1" si="12"/>
        <v>26254</v>
      </c>
      <c r="AB15" s="12">
        <f t="shared" ca="1" si="12"/>
        <v>29739</v>
      </c>
      <c r="AC15" s="12">
        <f t="shared" ca="1" si="13"/>
        <v>32946</v>
      </c>
      <c r="AD15" s="12">
        <f t="shared" ca="1" si="13"/>
        <v>36798</v>
      </c>
      <c r="AE15" s="12">
        <f t="shared" ca="1" si="13"/>
        <v>40397</v>
      </c>
      <c r="AF15" s="12">
        <f t="shared" ca="1" si="13"/>
        <v>42916</v>
      </c>
      <c r="AG15" s="12">
        <f t="shared" ca="1" si="13"/>
        <v>45118</v>
      </c>
      <c r="AH15" s="12">
        <f t="shared" ca="1" si="13"/>
        <v>48543</v>
      </c>
      <c r="AI15" s="12">
        <f t="shared" ca="1" si="13"/>
        <v>52391</v>
      </c>
      <c r="AJ15" s="12">
        <f t="shared" ca="1" si="13"/>
        <v>56093</v>
      </c>
      <c r="AK15" s="12">
        <f t="shared" ca="1" si="13"/>
        <v>59747</v>
      </c>
      <c r="AL15" s="12">
        <f t="shared" ca="1" si="13"/>
        <v>64573</v>
      </c>
      <c r="AM15" s="12">
        <f t="shared" ca="1" si="13"/>
        <v>67364</v>
      </c>
      <c r="AN15" s="12">
        <f t="shared" ca="1" si="13"/>
        <v>70274</v>
      </c>
      <c r="AO15" s="12">
        <f t="shared" ca="1" si="13"/>
        <v>74794</v>
      </c>
      <c r="AP15" s="12">
        <f t="shared" ca="1" si="13"/>
        <v>78766</v>
      </c>
      <c r="AQ15" s="12">
        <f t="shared" ca="1" si="13"/>
        <v>83736</v>
      </c>
      <c r="AR15" s="12">
        <f t="shared" ca="1" si="13"/>
        <v>88279</v>
      </c>
      <c r="AS15" s="12">
        <f t="shared" ca="1" si="13"/>
        <v>94087</v>
      </c>
      <c r="AT15" s="12">
        <f t="shared" ca="1" si="13"/>
        <v>96603</v>
      </c>
    </row>
    <row r="16" spans="1:74" s="12" customFormat="1" x14ac:dyDescent="0.25">
      <c r="A16" s="13"/>
      <c r="B16" s="13" t="s">
        <v>5</v>
      </c>
      <c r="C16" s="11" t="s">
        <v>4</v>
      </c>
      <c r="D16" s="11" t="s">
        <v>122</v>
      </c>
      <c r="E16" s="12">
        <f t="shared" ca="1" si="11"/>
        <v>0</v>
      </c>
      <c r="F16" s="12">
        <f t="shared" ca="1" si="11"/>
        <v>17</v>
      </c>
      <c r="G16" s="12">
        <f t="shared" ca="1" si="11"/>
        <v>28</v>
      </c>
      <c r="H16" s="12">
        <f t="shared" ca="1" si="11"/>
        <v>111</v>
      </c>
      <c r="I16" s="12">
        <f t="shared" ca="1" si="11"/>
        <v>122</v>
      </c>
      <c r="J16" s="12">
        <f t="shared" ca="1" si="11"/>
        <v>148</v>
      </c>
      <c r="K16" s="12">
        <f t="shared" ca="1" si="11"/>
        <v>152</v>
      </c>
      <c r="L16" s="12">
        <f t="shared" ca="1" si="11"/>
        <v>170</v>
      </c>
      <c r="M16" s="12">
        <f t="shared" ca="1" si="11"/>
        <v>663</v>
      </c>
      <c r="N16" s="12">
        <f t="shared" ca="1" si="11"/>
        <v>1201</v>
      </c>
      <c r="O16" s="12">
        <f t="shared" ca="1" si="12"/>
        <v>1796</v>
      </c>
      <c r="P16" s="12">
        <f t="shared" ca="1" si="12"/>
        <v>3693</v>
      </c>
      <c r="Q16" s="12">
        <f t="shared" ca="1" si="12"/>
        <v>6242</v>
      </c>
      <c r="R16" s="12">
        <f t="shared" ca="1" si="12"/>
        <v>7288</v>
      </c>
      <c r="S16" s="12">
        <f t="shared" ca="1" si="12"/>
        <v>9797</v>
      </c>
      <c r="T16" s="12">
        <f t="shared" ca="1" si="12"/>
        <v>12835</v>
      </c>
      <c r="U16" s="12">
        <f t="shared" ca="1" si="12"/>
        <v>17427</v>
      </c>
      <c r="V16" s="12">
        <f t="shared" ca="1" si="12"/>
        <v>23141</v>
      </c>
      <c r="W16" s="12">
        <f t="shared" ca="1" si="12"/>
        <v>29368</v>
      </c>
      <c r="X16" s="12">
        <f t="shared" ca="1" si="12"/>
        <v>36905</v>
      </c>
      <c r="Y16" s="12">
        <f t="shared" ca="1" si="12"/>
        <v>39572</v>
      </c>
      <c r="Z16" s="12">
        <f t="shared" ca="1" si="12"/>
        <v>43770</v>
      </c>
      <c r="AA16" s="12">
        <f t="shared" ca="1" si="12"/>
        <v>48581</v>
      </c>
      <c r="AB16" s="12">
        <f t="shared" ca="1" si="12"/>
        <v>53244</v>
      </c>
      <c r="AC16" s="12">
        <f t="shared" ca="1" si="13"/>
        <v>58507</v>
      </c>
      <c r="AD16" s="12">
        <f t="shared" ca="1" si="13"/>
        <v>64226</v>
      </c>
      <c r="AE16" s="12">
        <f t="shared" ca="1" si="13"/>
        <v>72913</v>
      </c>
      <c r="AF16" s="12">
        <f t="shared" ca="1" si="13"/>
        <v>77454</v>
      </c>
      <c r="AG16" s="12">
        <f t="shared" ca="1" si="13"/>
        <v>81875</v>
      </c>
      <c r="AH16" s="12">
        <f t="shared" ca="1" si="13"/>
        <v>87100</v>
      </c>
      <c r="AI16" s="12">
        <f t="shared" ca="1" si="13"/>
        <v>93346</v>
      </c>
      <c r="AJ16" s="12">
        <f t="shared" ca="1" si="13"/>
        <v>100499</v>
      </c>
      <c r="AK16" s="12">
        <f t="shared" ca="1" si="13"/>
        <v>107004</v>
      </c>
      <c r="AL16" s="12">
        <f t="shared" ca="1" si="13"/>
        <v>117034</v>
      </c>
      <c r="AM16" s="12">
        <f t="shared" ca="1" si="13"/>
        <v>121696</v>
      </c>
      <c r="AN16" s="12">
        <f t="shared" ca="1" si="13"/>
        <v>127506</v>
      </c>
      <c r="AO16" s="12">
        <f t="shared" ca="1" si="13"/>
        <v>134840</v>
      </c>
      <c r="AP16" s="12">
        <f t="shared" ca="1" si="13"/>
        <v>142339</v>
      </c>
      <c r="AQ16" s="12">
        <f t="shared" ca="1" si="13"/>
        <v>151469</v>
      </c>
      <c r="AR16" s="12">
        <f t="shared" ca="1" si="13"/>
        <v>160034</v>
      </c>
      <c r="AS16" s="12">
        <f t="shared" ca="1" si="13"/>
        <v>171757</v>
      </c>
      <c r="AT16" s="12">
        <f t="shared" ca="1" si="13"/>
        <v>176499</v>
      </c>
    </row>
    <row r="17" spans="1:73" s="12" customFormat="1" x14ac:dyDescent="0.25">
      <c r="A17" s="13"/>
      <c r="B17" s="13" t="s">
        <v>17</v>
      </c>
      <c r="C17" s="11" t="s">
        <v>17</v>
      </c>
      <c r="D17" s="11" t="s">
        <v>122</v>
      </c>
      <c r="E17" s="12">
        <f t="shared" ref="E17:AB17" ca="1" si="14">SUM(E11:E16)</f>
        <v>13</v>
      </c>
      <c r="F17" s="12">
        <f t="shared" ca="1" si="14"/>
        <v>61</v>
      </c>
      <c r="G17" s="12">
        <f t="shared" ca="1" si="14"/>
        <v>410</v>
      </c>
      <c r="H17" s="12">
        <f t="shared" ca="1" si="14"/>
        <v>1009</v>
      </c>
      <c r="I17" s="12">
        <f t="shared" ca="1" si="14"/>
        <v>1618</v>
      </c>
      <c r="J17" s="12">
        <f t="shared" ca="1" si="14"/>
        <v>2920</v>
      </c>
      <c r="K17" s="12">
        <f t="shared" ca="1" si="14"/>
        <v>3118</v>
      </c>
      <c r="L17" s="12">
        <f t="shared" ca="1" si="14"/>
        <v>3704</v>
      </c>
      <c r="M17" s="12">
        <f t="shared" ca="1" si="14"/>
        <v>5643</v>
      </c>
      <c r="N17" s="12">
        <f t="shared" ca="1" si="14"/>
        <v>11701</v>
      </c>
      <c r="O17" s="12">
        <f t="shared" ca="1" si="14"/>
        <v>20310</v>
      </c>
      <c r="P17" s="12">
        <f t="shared" ca="1" si="14"/>
        <v>32831</v>
      </c>
      <c r="Q17" s="12">
        <f t="shared" ca="1" si="14"/>
        <v>48899</v>
      </c>
      <c r="R17" s="12">
        <f t="shared" ca="1" si="14"/>
        <v>57085</v>
      </c>
      <c r="S17" s="12">
        <f t="shared" ca="1" si="14"/>
        <v>68221</v>
      </c>
      <c r="T17" s="12">
        <f t="shared" ca="1" si="14"/>
        <v>84908</v>
      </c>
      <c r="U17" s="12">
        <f t="shared" ca="1" si="14"/>
        <v>102076</v>
      </c>
      <c r="V17" s="12">
        <f t="shared" ca="1" si="14"/>
        <v>125499</v>
      </c>
      <c r="W17" s="12">
        <f t="shared" ca="1" si="14"/>
        <v>152173</v>
      </c>
      <c r="X17" s="12">
        <f t="shared" ca="1" si="14"/>
        <v>191591</v>
      </c>
      <c r="Y17" s="12">
        <f t="shared" ca="1" si="14"/>
        <v>207285</v>
      </c>
      <c r="Z17" s="12">
        <f t="shared" ca="1" si="14"/>
        <v>225359</v>
      </c>
      <c r="AA17" s="12">
        <f t="shared" ca="1" si="14"/>
        <v>250829</v>
      </c>
      <c r="AB17" s="12">
        <f t="shared" ca="1" si="14"/>
        <v>277722</v>
      </c>
      <c r="AC17" s="12">
        <f t="shared" ref="AC17:AJ17" ca="1" si="15">SUM(AC11:AC16)</f>
        <v>306657</v>
      </c>
      <c r="AD17" s="12">
        <f t="shared" ca="1" si="15"/>
        <v>333960</v>
      </c>
      <c r="AE17" s="12">
        <f t="shared" ca="1" si="15"/>
        <v>375512</v>
      </c>
      <c r="AF17" s="12">
        <f t="shared" ca="1" si="15"/>
        <v>392074</v>
      </c>
      <c r="AG17" s="12">
        <f t="shared" ca="1" si="15"/>
        <v>409275</v>
      </c>
      <c r="AH17" s="12">
        <f t="shared" ca="1" si="15"/>
        <v>437518</v>
      </c>
      <c r="AI17" s="12">
        <f t="shared" ca="1" si="15"/>
        <v>467251</v>
      </c>
      <c r="AJ17" s="12">
        <f t="shared" ca="1" si="15"/>
        <v>501670</v>
      </c>
      <c r="AK17" s="12">
        <f t="shared" ref="AK17:AM17" ca="1" si="16">SUM(AK11:AK16)</f>
        <v>530600</v>
      </c>
      <c r="AL17" s="12">
        <f t="shared" ca="1" si="16"/>
        <v>580517</v>
      </c>
      <c r="AM17" s="12">
        <f t="shared" ca="1" si="16"/>
        <v>599576</v>
      </c>
      <c r="AN17" s="12">
        <f t="shared" ref="AN17" ca="1" si="17">SUM(AN11:AN16)</f>
        <v>621531</v>
      </c>
      <c r="AO17" s="12">
        <f t="shared" ref="AO17:AT17" ca="1" si="18">SUM(AO11:AO16)</f>
        <v>654481</v>
      </c>
      <c r="AP17" s="12">
        <f t="shared" ref="AP17:AT17" ca="1" si="19">SUM(AP11:AP16)</f>
        <v>688680</v>
      </c>
      <c r="AQ17" s="12">
        <f t="shared" ca="1" si="19"/>
        <v>728104</v>
      </c>
      <c r="AR17" s="12">
        <f t="shared" ca="1" si="19"/>
        <v>766555</v>
      </c>
      <c r="AS17" s="12">
        <f t="shared" ca="1" si="19"/>
        <v>820933</v>
      </c>
      <c r="AT17" s="12">
        <f t="shared" ca="1" si="19"/>
        <v>842245</v>
      </c>
    </row>
    <row r="18" spans="1:73" x14ac:dyDescent="0.25">
      <c r="C18" s="10"/>
      <c r="D18" s="10"/>
    </row>
    <row r="19" spans="1:73" x14ac:dyDescent="0.25">
      <c r="C19" s="10"/>
      <c r="D19" s="10"/>
    </row>
    <row r="20" spans="1:73" x14ac:dyDescent="0.25">
      <c r="C20" s="10"/>
      <c r="D20" s="10"/>
    </row>
    <row r="21" spans="1:73" x14ac:dyDescent="0.25">
      <c r="C21" s="10"/>
      <c r="D21" s="10"/>
      <c r="E21" s="2" t="s">
        <v>19</v>
      </c>
    </row>
    <row r="22" spans="1:73" x14ac:dyDescent="0.25">
      <c r="C22" s="10" t="s">
        <v>0</v>
      </c>
      <c r="D22" s="10" t="s">
        <v>16</v>
      </c>
      <c r="E22" s="1">
        <f>E10</f>
        <v>44452</v>
      </c>
      <c r="F22" s="1">
        <f>F10</f>
        <v>44453</v>
      </c>
      <c r="G22" s="1">
        <f t="shared" ref="G22:BU22" si="20">G10</f>
        <v>44454</v>
      </c>
      <c r="H22" s="1">
        <f t="shared" si="20"/>
        <v>44455</v>
      </c>
      <c r="I22" s="1">
        <f t="shared" si="20"/>
        <v>44456</v>
      </c>
      <c r="J22" s="1">
        <f t="shared" si="20"/>
        <v>44457</v>
      </c>
      <c r="K22" s="1">
        <f t="shared" si="20"/>
        <v>44458</v>
      </c>
      <c r="L22" s="1">
        <f t="shared" si="20"/>
        <v>44459</v>
      </c>
      <c r="M22" s="1">
        <f t="shared" si="20"/>
        <v>44460</v>
      </c>
      <c r="N22" s="1">
        <f t="shared" si="20"/>
        <v>44461</v>
      </c>
      <c r="O22" s="1">
        <f t="shared" si="20"/>
        <v>44462</v>
      </c>
      <c r="P22" s="1">
        <f t="shared" si="20"/>
        <v>44463</v>
      </c>
      <c r="Q22" s="1">
        <f t="shared" si="20"/>
        <v>44464</v>
      </c>
      <c r="R22" s="1">
        <f t="shared" si="20"/>
        <v>44465</v>
      </c>
      <c r="S22" s="1">
        <f t="shared" si="20"/>
        <v>44466</v>
      </c>
      <c r="T22" s="1">
        <f t="shared" si="20"/>
        <v>44467</v>
      </c>
      <c r="U22" s="1">
        <f t="shared" si="20"/>
        <v>44468</v>
      </c>
      <c r="V22" s="1">
        <f t="shared" si="20"/>
        <v>44469</v>
      </c>
      <c r="W22" s="1">
        <f t="shared" si="20"/>
        <v>44470</v>
      </c>
      <c r="X22" s="1">
        <f t="shared" si="20"/>
        <v>44471</v>
      </c>
      <c r="Y22" s="1">
        <f t="shared" si="20"/>
        <v>44472</v>
      </c>
      <c r="Z22" s="1">
        <f t="shared" si="20"/>
        <v>44473</v>
      </c>
      <c r="AA22" s="1">
        <f t="shared" si="20"/>
        <v>44474</v>
      </c>
      <c r="AB22" s="1">
        <f t="shared" si="20"/>
        <v>44475</v>
      </c>
      <c r="AC22" s="1">
        <f t="shared" si="20"/>
        <v>44476</v>
      </c>
      <c r="AD22" s="1">
        <f t="shared" si="20"/>
        <v>44477</v>
      </c>
      <c r="AE22" s="1">
        <f t="shared" si="20"/>
        <v>44478</v>
      </c>
      <c r="AF22" s="1">
        <f t="shared" si="20"/>
        <v>44479</v>
      </c>
      <c r="AG22" s="1">
        <f t="shared" si="20"/>
        <v>44480</v>
      </c>
      <c r="AH22" s="1">
        <f t="shared" si="20"/>
        <v>44481</v>
      </c>
      <c r="AI22" s="1">
        <f t="shared" si="20"/>
        <v>44482</v>
      </c>
      <c r="AJ22" s="1">
        <f t="shared" si="20"/>
        <v>44483</v>
      </c>
      <c r="AK22" s="1">
        <f t="shared" ref="AK22:AM22" si="21">AK10</f>
        <v>44484</v>
      </c>
      <c r="AL22" s="1">
        <f t="shared" si="21"/>
        <v>44485</v>
      </c>
      <c r="AM22" s="1">
        <f t="shared" si="21"/>
        <v>44486</v>
      </c>
      <c r="AN22" s="1">
        <f t="shared" ref="AN22" si="22">AN10</f>
        <v>44487</v>
      </c>
      <c r="AO22" s="1">
        <f t="shared" ref="AO22:AT22" si="23">AO10</f>
        <v>44488</v>
      </c>
      <c r="AP22" s="1">
        <f t="shared" ref="AP22:AT22" si="24">AP10</f>
        <v>44489</v>
      </c>
      <c r="AQ22" s="1">
        <f t="shared" si="24"/>
        <v>44490</v>
      </c>
      <c r="AR22" s="1">
        <f t="shared" si="24"/>
        <v>44491</v>
      </c>
      <c r="AS22" s="1">
        <f t="shared" si="24"/>
        <v>44492</v>
      </c>
      <c r="AT22" s="1">
        <f t="shared" si="24"/>
        <v>44493</v>
      </c>
      <c r="AU22" s="1"/>
      <c r="AV22" s="1"/>
      <c r="AW22" s="1"/>
      <c r="AX22" s="1">
        <f t="shared" si="20"/>
        <v>1</v>
      </c>
      <c r="AY22" s="1">
        <f t="shared" si="20"/>
        <v>2</v>
      </c>
      <c r="AZ22" s="1">
        <f t="shared" si="20"/>
        <v>3</v>
      </c>
      <c r="BA22" s="1">
        <f t="shared" si="20"/>
        <v>4</v>
      </c>
      <c r="BB22" s="1">
        <f t="shared" si="20"/>
        <v>5</v>
      </c>
      <c r="BC22" s="1">
        <f t="shared" si="20"/>
        <v>6</v>
      </c>
      <c r="BD22" s="1">
        <f t="shared" si="20"/>
        <v>7</v>
      </c>
      <c r="BE22" s="1">
        <f t="shared" si="20"/>
        <v>8</v>
      </c>
      <c r="BF22" s="1">
        <f t="shared" si="20"/>
        <v>9</v>
      </c>
      <c r="BG22" s="1">
        <f t="shared" si="20"/>
        <v>10</v>
      </c>
      <c r="BH22" s="1">
        <f t="shared" si="20"/>
        <v>11</v>
      </c>
      <c r="BI22" s="1">
        <f t="shared" si="20"/>
        <v>12</v>
      </c>
      <c r="BJ22" s="1">
        <f t="shared" si="20"/>
        <v>13</v>
      </c>
      <c r="BK22" s="1">
        <f t="shared" si="20"/>
        <v>14</v>
      </c>
      <c r="BL22" s="1">
        <f t="shared" si="20"/>
        <v>15</v>
      </c>
      <c r="BM22" s="1">
        <f t="shared" si="20"/>
        <v>16</v>
      </c>
      <c r="BN22" s="1">
        <f t="shared" si="20"/>
        <v>17</v>
      </c>
      <c r="BO22" s="1">
        <f t="shared" si="20"/>
        <v>18</v>
      </c>
      <c r="BP22" s="1">
        <f t="shared" si="20"/>
        <v>19</v>
      </c>
      <c r="BQ22" s="1">
        <f t="shared" si="20"/>
        <v>20</v>
      </c>
      <c r="BR22" s="1">
        <f t="shared" si="20"/>
        <v>21</v>
      </c>
      <c r="BS22" s="1">
        <f t="shared" si="20"/>
        <v>22</v>
      </c>
      <c r="BT22" s="1">
        <f t="shared" si="20"/>
        <v>23</v>
      </c>
      <c r="BU22" s="1">
        <f t="shared" si="20"/>
        <v>24</v>
      </c>
    </row>
    <row r="23" spans="1:73" x14ac:dyDescent="0.25">
      <c r="C23" s="10" t="s">
        <v>10</v>
      </c>
      <c r="D23" s="11" t="s">
        <v>122</v>
      </c>
      <c r="E23" s="3"/>
      <c r="F23" s="3"/>
      <c r="G23" s="3"/>
      <c r="H23" s="3"/>
      <c r="I23" s="3"/>
      <c r="J23" s="3"/>
      <c r="K23" s="3"/>
      <c r="L23" s="3">
        <f ca="1">L11/PM_Pop_Data!J3</f>
        <v>2.3833494675701838E-2</v>
      </c>
      <c r="M23" s="3">
        <f ca="1">M11/PM_Pop_Data!K3</f>
        <v>2.324981513645509E-2</v>
      </c>
      <c r="N23" s="3">
        <f ca="1">N11/PM_Pop_Data!L3</f>
        <v>4.6979367671070207E-2</v>
      </c>
      <c r="O23" s="3">
        <f ca="1">O11/PM_Pop_Data!M3</f>
        <v>9.3833826260403055E-2</v>
      </c>
      <c r="P23" s="3">
        <f ca="1">P11/PM_Pop_Data!N3</f>
        <v>0.11532010271786727</v>
      </c>
      <c r="Q23" s="3">
        <f ca="1">Q11/PM_Pop_Data!O3</f>
        <v>0.14518708026862809</v>
      </c>
      <c r="R23" s="3">
        <f ca="1">R11/PM_Pop_Data!P3</f>
        <v>0.15836582427688761</v>
      </c>
      <c r="S23" s="3">
        <f ca="1">S11/PM_Pop_Data!Q3</f>
        <v>0.17918743546269267</v>
      </c>
      <c r="T23" s="3">
        <f ca="1">T11/PM_Pop_Data!R3</f>
        <v>0.18417935902598478</v>
      </c>
      <c r="U23" s="3">
        <f ca="1">U11/PM_Pop_Data!S3</f>
        <v>0.1927218557139817</v>
      </c>
      <c r="V23" s="3">
        <f ca="1">V11/PM_Pop_Data!T3</f>
        <v>0.20004932697141881</v>
      </c>
      <c r="W23" s="3">
        <f ca="1">W11/PM_Pop_Data!U3</f>
        <v>0.23836030588653745</v>
      </c>
      <c r="X23" s="3">
        <f ca="1">X11/PM_Pop_Data!V3</f>
        <v>0.28513861200565693</v>
      </c>
      <c r="Y23" s="3">
        <f ca="1">Y11/PM_Pop_Data!W3</f>
        <v>0.29495621478514694</v>
      </c>
      <c r="Z23" s="3">
        <f ca="1">Z11/PM_Pop_Data!X3</f>
        <v>0.31203855017808507</v>
      </c>
      <c r="AA23" s="3">
        <f ca="1">AA11/PM_Pop_Data!Y3</f>
        <v>0.33301685063943265</v>
      </c>
      <c r="AB23" s="3">
        <f ca="1">AB11/PM_Pop_Data!Z3</f>
        <v>0.35050762964313942</v>
      </c>
      <c r="AC23" s="3">
        <f ca="1">AC11/PM_Pop_Data!AA3</f>
        <v>0.35800236439890787</v>
      </c>
      <c r="AD23" s="3">
        <f ca="1">AD11/PM_Pop_Data!AB3</f>
        <v>0.35425825128822902</v>
      </c>
      <c r="AE23" s="3">
        <f ca="1">AE11/PM_Pop_Data!AC3</f>
        <v>0.38558449212527207</v>
      </c>
      <c r="AF23" s="3">
        <f ca="1">AF11/PM_Pop_Data!AD3</f>
        <v>0.38961367081629839</v>
      </c>
      <c r="AG23" s="3">
        <f ca="1">AG11/PM_Pop_Data!AE3</f>
        <v>0.39640727305398638</v>
      </c>
      <c r="AH23" s="3">
        <f ca="1">AH11/PM_Pop_Data!AF3</f>
        <v>0.4137925362167853</v>
      </c>
      <c r="AI23" s="3">
        <f ca="1">AI11/PM_Pop_Data!AG3</f>
        <v>0.43065877712031558</v>
      </c>
      <c r="AJ23" s="3">
        <f ca="1">AJ11/PM_Pop_Data!AH3</f>
        <v>0.4490900497537722</v>
      </c>
      <c r="AK23" s="3">
        <f ca="1">AK11/PM_Pop_Data!AI3</f>
        <v>0.44885510688836106</v>
      </c>
      <c r="AL23" s="3">
        <f ca="1">AL11/PM_Pop_Data!AJ3</f>
        <v>0.47188477388351208</v>
      </c>
      <c r="AM23" s="3">
        <f ca="1">AM11/PM_Pop_Data!AK3</f>
        <v>0.47723392271906834</v>
      </c>
      <c r="AN23" s="3">
        <f ca="1">AN11/PM_Pop_Data!AL3</f>
        <v>0.48209964660620092</v>
      </c>
      <c r="AO23" s="3">
        <f ca="1">AO11/PM_Pop_Data!AM3</f>
        <v>0.49113034644769421</v>
      </c>
      <c r="AP23" s="3">
        <f ca="1">AP11/PM_Pop_Data!AN3</f>
        <v>0.50848642624191354</v>
      </c>
      <c r="AQ23" s="3">
        <f ca="1">AQ11/PM_Pop_Data!AO3</f>
        <v>0.49345790128104217</v>
      </c>
      <c r="AR23" s="3">
        <f ca="1">AR11/PM_Pop_Data!AP3</f>
        <v>0.52348197072881375</v>
      </c>
      <c r="AS23" s="3">
        <f ca="1">AS11/PM_Pop_Data!AQ3</f>
        <v>0.52754579693429304</v>
      </c>
      <c r="AT23" s="3">
        <f ca="1">AT11/PM_Pop_Data!AR3</f>
        <v>0.53205549791619045</v>
      </c>
      <c r="AU23" s="3"/>
      <c r="AV23" s="3"/>
      <c r="AW23" s="3"/>
      <c r="AX23" s="3" t="e">
        <f t="shared" ref="AX23:BU23" si="25">AX11/$A11</f>
        <v>#DIV/0!</v>
      </c>
      <c r="AY23" s="3" t="e">
        <f t="shared" si="25"/>
        <v>#DIV/0!</v>
      </c>
      <c r="AZ23" s="3" t="e">
        <f t="shared" si="25"/>
        <v>#DIV/0!</v>
      </c>
      <c r="BA23" s="3" t="e">
        <f t="shared" si="25"/>
        <v>#DIV/0!</v>
      </c>
      <c r="BB23" s="3" t="e">
        <f t="shared" si="25"/>
        <v>#DIV/0!</v>
      </c>
      <c r="BC23" s="3" t="e">
        <f t="shared" si="25"/>
        <v>#DIV/0!</v>
      </c>
      <c r="BD23" s="3" t="e">
        <f t="shared" si="25"/>
        <v>#DIV/0!</v>
      </c>
      <c r="BE23" s="3" t="e">
        <f t="shared" si="25"/>
        <v>#DIV/0!</v>
      </c>
      <c r="BF23" s="3" t="e">
        <f t="shared" si="25"/>
        <v>#DIV/0!</v>
      </c>
      <c r="BG23" s="3" t="e">
        <f t="shared" si="25"/>
        <v>#DIV/0!</v>
      </c>
      <c r="BH23" s="3" t="e">
        <f t="shared" si="25"/>
        <v>#DIV/0!</v>
      </c>
      <c r="BI23" s="3" t="e">
        <f t="shared" si="25"/>
        <v>#DIV/0!</v>
      </c>
      <c r="BJ23" s="3" t="e">
        <f t="shared" si="25"/>
        <v>#DIV/0!</v>
      </c>
      <c r="BK23" s="3" t="e">
        <f t="shared" si="25"/>
        <v>#DIV/0!</v>
      </c>
      <c r="BL23" s="3" t="e">
        <f t="shared" si="25"/>
        <v>#DIV/0!</v>
      </c>
      <c r="BM23" s="3" t="e">
        <f t="shared" si="25"/>
        <v>#DIV/0!</v>
      </c>
      <c r="BN23" s="3" t="e">
        <f t="shared" si="25"/>
        <v>#DIV/0!</v>
      </c>
      <c r="BO23" s="3" t="e">
        <f t="shared" si="25"/>
        <v>#DIV/0!</v>
      </c>
      <c r="BP23" s="3" t="e">
        <f t="shared" si="25"/>
        <v>#DIV/0!</v>
      </c>
      <c r="BQ23" s="3" t="e">
        <f t="shared" si="25"/>
        <v>#DIV/0!</v>
      </c>
      <c r="BR23" s="3" t="e">
        <f t="shared" si="25"/>
        <v>#DIV/0!</v>
      </c>
      <c r="BS23" s="3" t="e">
        <f t="shared" si="25"/>
        <v>#DIV/0!</v>
      </c>
      <c r="BT23" s="3" t="e">
        <f t="shared" si="25"/>
        <v>#DIV/0!</v>
      </c>
      <c r="BU23" s="3" t="e">
        <f t="shared" si="25"/>
        <v>#DIV/0!</v>
      </c>
    </row>
    <row r="24" spans="1:73" x14ac:dyDescent="0.25">
      <c r="C24" s="10" t="s">
        <v>2</v>
      </c>
      <c r="D24" s="11" t="s">
        <v>122</v>
      </c>
      <c r="E24" s="3"/>
      <c r="F24" s="3"/>
      <c r="G24" s="3"/>
      <c r="H24" s="3"/>
      <c r="I24" s="3"/>
      <c r="J24" s="3"/>
      <c r="K24" s="3"/>
      <c r="L24" s="3">
        <f ca="1">L12/PM_Pop_Data!J4</f>
        <v>9.8809326938978006E-3</v>
      </c>
      <c r="M24" s="3">
        <f ca="1">M12/PM_Pop_Data!K4</f>
        <v>1.8235045146726862E-2</v>
      </c>
      <c r="N24" s="3">
        <f ca="1">N12/PM_Pop_Data!L4</f>
        <v>6.8303614927409134E-2</v>
      </c>
      <c r="O24" s="3">
        <f ca="1">O12/PM_Pop_Data!M4</f>
        <v>0.11793334508904955</v>
      </c>
      <c r="P24" s="3">
        <f ca="1">P12/PM_Pop_Data!N4</f>
        <v>0.14493553729743772</v>
      </c>
      <c r="Q24" s="3">
        <f ca="1">Q12/PM_Pop_Data!O4</f>
        <v>0.20644883391791274</v>
      </c>
      <c r="R24" s="3">
        <f ca="1">R12/PM_Pop_Data!P4</f>
        <v>0.21915236051502146</v>
      </c>
      <c r="S24" s="3">
        <f ca="1">S12/PM_Pop_Data!Q4</f>
        <v>0.23623362541394369</v>
      </c>
      <c r="T24" s="3">
        <f ca="1">T12/PM_Pop_Data!R4</f>
        <v>0.27597824645178404</v>
      </c>
      <c r="U24" s="3">
        <f ca="1">U12/PM_Pop_Data!S4</f>
        <v>0.3115123623470849</v>
      </c>
      <c r="V24" s="3">
        <f ca="1">V12/PM_Pop_Data!T4</f>
        <v>0.33831831447987898</v>
      </c>
      <c r="W24" s="3">
        <f ca="1">W12/PM_Pop_Data!U4</f>
        <v>0.38495611685689562</v>
      </c>
      <c r="X24" s="3">
        <f ca="1">X12/PM_Pop_Data!V4</f>
        <v>0.43142637974887965</v>
      </c>
      <c r="Y24" s="3">
        <f ca="1">Y12/PM_Pop_Data!W4</f>
        <v>0.45759018642563148</v>
      </c>
      <c r="Z24" s="3">
        <f ca="1">Z12/PM_Pop_Data!X4</f>
        <v>0.48782782782782785</v>
      </c>
      <c r="AA24" s="3">
        <f ca="1">AA12/PM_Pop_Data!Y4</f>
        <v>0.52568786391140543</v>
      </c>
      <c r="AB24" s="3">
        <f ca="1">AB12/PM_Pop_Data!Z4</f>
        <v>0.5385352093055652</v>
      </c>
      <c r="AC24" s="3">
        <f ca="1">AC12/PM_Pop_Data!AA4</f>
        <v>0.54682314852286529</v>
      </c>
      <c r="AD24" s="3">
        <f ca="1">AD12/PM_Pop_Data!AB4</f>
        <v>0.55683147262094634</v>
      </c>
      <c r="AE24" s="3">
        <f ca="1">AE12/PM_Pop_Data!AC4</f>
        <v>0.57766570809309969</v>
      </c>
      <c r="AF24" s="3">
        <f ca="1">AF12/PM_Pop_Data!AD4</f>
        <v>0.58521431270203328</v>
      </c>
      <c r="AG24" s="3">
        <f ca="1">AG12/PM_Pop_Data!AE4</f>
        <v>0.60510237780713338</v>
      </c>
      <c r="AH24" s="3">
        <f ca="1">AH12/PM_Pop_Data!AF4</f>
        <v>0.63370553241326077</v>
      </c>
      <c r="AI24" s="3">
        <f ca="1">AI12/PM_Pop_Data!AG4</f>
        <v>0.64030366119941096</v>
      </c>
      <c r="AJ24" s="3">
        <f ca="1">AJ12/PM_Pop_Data!AH4</f>
        <v>0.64994529080043772</v>
      </c>
      <c r="AK24" s="3">
        <f ca="1">AK12/PM_Pop_Data!AI4</f>
        <v>0.63765858760401983</v>
      </c>
      <c r="AL24" s="3">
        <f ca="1">AL12/PM_Pop_Data!AJ4</f>
        <v>0.6345517813472954</v>
      </c>
      <c r="AM24" s="3">
        <f ca="1">AM12/PM_Pop_Data!AK4</f>
        <v>0.64773678449552508</v>
      </c>
      <c r="AN24" s="3">
        <f ca="1">AN12/PM_Pop_Data!AL4</f>
        <v>0.65859940914873261</v>
      </c>
      <c r="AO24" s="3">
        <f ca="1">AO12/PM_Pop_Data!AM4</f>
        <v>0.68104702387050509</v>
      </c>
      <c r="AP24" s="3">
        <f ca="1">AP12/PM_Pop_Data!AN4</f>
        <v>0.68993000207914612</v>
      </c>
      <c r="AQ24" s="3">
        <f ca="1">AQ12/PM_Pop_Data!AO4</f>
        <v>0.67237414457096945</v>
      </c>
      <c r="AR24" s="3">
        <f ca="1">AR12/PM_Pop_Data!AP4</f>
        <v>0.69360633179102138</v>
      </c>
      <c r="AS24" s="3">
        <f ca="1">AS12/PM_Pop_Data!AQ4</f>
        <v>0.71054736804679031</v>
      </c>
      <c r="AT24" s="3">
        <f ca="1">AT12/PM_Pop_Data!AR4</f>
        <v>0.71014809313704075</v>
      </c>
      <c r="AU24" s="3"/>
      <c r="AV24" s="3"/>
      <c r="AW24" s="3"/>
      <c r="AX24" s="3" t="e">
        <f t="shared" ref="AX24:BU24" si="26">AX12/$A12</f>
        <v>#DIV/0!</v>
      </c>
      <c r="AY24" s="3" t="e">
        <f t="shared" si="26"/>
        <v>#DIV/0!</v>
      </c>
      <c r="AZ24" s="3" t="e">
        <f t="shared" si="26"/>
        <v>#DIV/0!</v>
      </c>
      <c r="BA24" s="3" t="e">
        <f t="shared" si="26"/>
        <v>#DIV/0!</v>
      </c>
      <c r="BB24" s="3" t="e">
        <f t="shared" si="26"/>
        <v>#DIV/0!</v>
      </c>
      <c r="BC24" s="3" t="e">
        <f t="shared" si="26"/>
        <v>#DIV/0!</v>
      </c>
      <c r="BD24" s="3" t="e">
        <f t="shared" si="26"/>
        <v>#DIV/0!</v>
      </c>
      <c r="BE24" s="3" t="e">
        <f t="shared" si="26"/>
        <v>#DIV/0!</v>
      </c>
      <c r="BF24" s="3" t="e">
        <f t="shared" si="26"/>
        <v>#DIV/0!</v>
      </c>
      <c r="BG24" s="3" t="e">
        <f t="shared" si="26"/>
        <v>#DIV/0!</v>
      </c>
      <c r="BH24" s="3" t="e">
        <f t="shared" si="26"/>
        <v>#DIV/0!</v>
      </c>
      <c r="BI24" s="3" t="e">
        <f t="shared" si="26"/>
        <v>#DIV/0!</v>
      </c>
      <c r="BJ24" s="3" t="e">
        <f t="shared" si="26"/>
        <v>#DIV/0!</v>
      </c>
      <c r="BK24" s="3" t="e">
        <f t="shared" si="26"/>
        <v>#DIV/0!</v>
      </c>
      <c r="BL24" s="3" t="e">
        <f t="shared" si="26"/>
        <v>#DIV/0!</v>
      </c>
      <c r="BM24" s="3" t="e">
        <f t="shared" si="26"/>
        <v>#DIV/0!</v>
      </c>
      <c r="BN24" s="3" t="e">
        <f t="shared" si="26"/>
        <v>#DIV/0!</v>
      </c>
      <c r="BO24" s="3" t="e">
        <f t="shared" si="26"/>
        <v>#DIV/0!</v>
      </c>
      <c r="BP24" s="3" t="e">
        <f t="shared" si="26"/>
        <v>#DIV/0!</v>
      </c>
      <c r="BQ24" s="3" t="e">
        <f t="shared" si="26"/>
        <v>#DIV/0!</v>
      </c>
      <c r="BR24" s="3" t="e">
        <f t="shared" si="26"/>
        <v>#DIV/0!</v>
      </c>
      <c r="BS24" s="3" t="e">
        <f t="shared" si="26"/>
        <v>#DIV/0!</v>
      </c>
      <c r="BT24" s="3" t="e">
        <f t="shared" si="26"/>
        <v>#DIV/0!</v>
      </c>
      <c r="BU24" s="3" t="e">
        <f t="shared" si="26"/>
        <v>#DIV/0!</v>
      </c>
    </row>
    <row r="25" spans="1:73" x14ac:dyDescent="0.25">
      <c r="C25" s="10" t="s">
        <v>6</v>
      </c>
      <c r="D25" s="11" t="s">
        <v>122</v>
      </c>
      <c r="E25" s="3"/>
      <c r="F25" s="3"/>
      <c r="G25" s="3"/>
      <c r="H25" s="3"/>
      <c r="I25" s="3"/>
      <c r="J25" s="3"/>
      <c r="K25" s="3"/>
      <c r="L25" s="3">
        <f ca="1">L13/PM_Pop_Data!J5</f>
        <v>7.0491803278688522E-3</v>
      </c>
      <c r="M25" s="3">
        <f ca="1">M13/PM_Pop_Data!K5</f>
        <v>1.0416431299003548E-2</v>
      </c>
      <c r="N25" s="3">
        <f ca="1">N13/PM_Pop_Data!L5</f>
        <v>1.8655858942486472E-2</v>
      </c>
      <c r="O25" s="3">
        <f ca="1">O13/PM_Pop_Data!M5</f>
        <v>3.2106464221966155E-2</v>
      </c>
      <c r="P25" s="3">
        <f ca="1">P13/PM_Pop_Data!N5</f>
        <v>5.2121959117164732E-2</v>
      </c>
      <c r="Q25" s="3">
        <f ca="1">Q13/PM_Pop_Data!O5</f>
        <v>6.5275876264971416E-2</v>
      </c>
      <c r="R25" s="3">
        <f ca="1">R13/PM_Pop_Data!P5</f>
        <v>8.1165790376572913E-2</v>
      </c>
      <c r="S25" s="3">
        <f ca="1">S13/PM_Pop_Data!Q5</f>
        <v>0.11010222648043809</v>
      </c>
      <c r="T25" s="3">
        <f ca="1">T13/PM_Pop_Data!R5</f>
        <v>0.1373126228281516</v>
      </c>
      <c r="U25" s="3">
        <f ca="1">U13/PM_Pop_Data!S5</f>
        <v>0.15458057269491435</v>
      </c>
      <c r="V25" s="3">
        <f ca="1">V13/PM_Pop_Data!T5</f>
        <v>0.17887792018397511</v>
      </c>
      <c r="W25" s="3">
        <f ca="1">W13/PM_Pop_Data!U5</f>
        <v>0.20567434098028756</v>
      </c>
      <c r="X25" s="3">
        <f ca="1">X13/PM_Pop_Data!V5</f>
        <v>0.26375908618899274</v>
      </c>
      <c r="Y25" s="3">
        <f ca="1">Y13/PM_Pop_Data!W5</f>
        <v>0.29609182909290938</v>
      </c>
      <c r="Z25" s="3">
        <f ca="1">Z13/PM_Pop_Data!X5</f>
        <v>0.32481823799318965</v>
      </c>
      <c r="AA25" s="3">
        <f ca="1">AA13/PM_Pop_Data!Y5</f>
        <v>0.34882649535461085</v>
      </c>
      <c r="AB25" s="3">
        <f ca="1">AB13/PM_Pop_Data!Z5</f>
        <v>0.37129996902087747</v>
      </c>
      <c r="AC25" s="3">
        <f ca="1">AC13/PM_Pop_Data!AA5</f>
        <v>0.38981159997723264</v>
      </c>
      <c r="AD25" s="3">
        <f ca="1">AD13/PM_Pop_Data!AB5</f>
        <v>0.39702514690632562</v>
      </c>
      <c r="AE25" s="3">
        <f ca="1">AE13/PM_Pop_Data!AC5</f>
        <v>0.40157364698257747</v>
      </c>
      <c r="AF25" s="3">
        <f ca="1">AF13/PM_Pop_Data!AD5</f>
        <v>0.41446617705458622</v>
      </c>
      <c r="AG25" s="3">
        <f ca="1">AG13/PM_Pop_Data!AE5</f>
        <v>0.42323737388680138</v>
      </c>
      <c r="AH25" s="3">
        <f ca="1">AH13/PM_Pop_Data!AF5</f>
        <v>0.44024646381144172</v>
      </c>
      <c r="AI25" s="3">
        <f ca="1">AI13/PM_Pop_Data!AG5</f>
        <v>0.4577391821506066</v>
      </c>
      <c r="AJ25" s="3">
        <f ca="1">AJ13/PM_Pop_Data!AH5</f>
        <v>0.47605423783623552</v>
      </c>
      <c r="AK25" s="3">
        <f ca="1">AK13/PM_Pop_Data!AI5</f>
        <v>0.47280902474894965</v>
      </c>
      <c r="AL25" s="3">
        <f ca="1">AL13/PM_Pop_Data!AJ5</f>
        <v>0.47548453494858078</v>
      </c>
      <c r="AM25" s="3">
        <f ca="1">AM13/PM_Pop_Data!AK5</f>
        <v>0.47861729796914199</v>
      </c>
      <c r="AN25" s="3">
        <f ca="1">AN13/PM_Pop_Data!AL5</f>
        <v>0.48843781633720557</v>
      </c>
      <c r="AO25" s="3">
        <f ca="1">AO13/PM_Pop_Data!AM5</f>
        <v>0.49250604880647836</v>
      </c>
      <c r="AP25" s="3">
        <f ca="1">AP13/PM_Pop_Data!AN5</f>
        <v>0.49878792768962527</v>
      </c>
      <c r="AQ25" s="3">
        <f ca="1">AQ13/PM_Pop_Data!AO5</f>
        <v>0.48414471608578918</v>
      </c>
      <c r="AR25" s="3">
        <f ca="1">AR13/PM_Pop_Data!AP5</f>
        <v>0.51448706144445666</v>
      </c>
      <c r="AS25" s="3">
        <f ca="1">AS13/PM_Pop_Data!AQ5</f>
        <v>0.51968518410725062</v>
      </c>
      <c r="AT25" s="3">
        <f ca="1">AT13/PM_Pop_Data!AR5</f>
        <v>0.52023214477435675</v>
      </c>
      <c r="AU25" s="3"/>
      <c r="AV25" s="3"/>
      <c r="AW25" s="3"/>
      <c r="AX25" s="3" t="e">
        <f t="shared" ref="AX25:BU25" si="27">AX13/$A13</f>
        <v>#DIV/0!</v>
      </c>
      <c r="AY25" s="3" t="e">
        <f t="shared" si="27"/>
        <v>#DIV/0!</v>
      </c>
      <c r="AZ25" s="3" t="e">
        <f t="shared" si="27"/>
        <v>#DIV/0!</v>
      </c>
      <c r="BA25" s="3" t="e">
        <f t="shared" si="27"/>
        <v>#DIV/0!</v>
      </c>
      <c r="BB25" s="3" t="e">
        <f t="shared" si="27"/>
        <v>#DIV/0!</v>
      </c>
      <c r="BC25" s="3" t="e">
        <f t="shared" si="27"/>
        <v>#DIV/0!</v>
      </c>
      <c r="BD25" s="3" t="e">
        <f t="shared" si="27"/>
        <v>#DIV/0!</v>
      </c>
      <c r="BE25" s="3" t="e">
        <f t="shared" si="27"/>
        <v>#DIV/0!</v>
      </c>
      <c r="BF25" s="3" t="e">
        <f t="shared" si="27"/>
        <v>#DIV/0!</v>
      </c>
      <c r="BG25" s="3" t="e">
        <f t="shared" si="27"/>
        <v>#DIV/0!</v>
      </c>
      <c r="BH25" s="3" t="e">
        <f t="shared" si="27"/>
        <v>#DIV/0!</v>
      </c>
      <c r="BI25" s="3" t="e">
        <f t="shared" si="27"/>
        <v>#DIV/0!</v>
      </c>
      <c r="BJ25" s="3" t="e">
        <f t="shared" si="27"/>
        <v>#DIV/0!</v>
      </c>
      <c r="BK25" s="3" t="e">
        <f t="shared" si="27"/>
        <v>#DIV/0!</v>
      </c>
      <c r="BL25" s="3" t="e">
        <f t="shared" si="27"/>
        <v>#DIV/0!</v>
      </c>
      <c r="BM25" s="3" t="e">
        <f t="shared" si="27"/>
        <v>#DIV/0!</v>
      </c>
      <c r="BN25" s="3" t="e">
        <f t="shared" si="27"/>
        <v>#DIV/0!</v>
      </c>
      <c r="BO25" s="3" t="e">
        <f t="shared" si="27"/>
        <v>#DIV/0!</v>
      </c>
      <c r="BP25" s="3" t="e">
        <f t="shared" si="27"/>
        <v>#DIV/0!</v>
      </c>
      <c r="BQ25" s="3" t="e">
        <f t="shared" si="27"/>
        <v>#DIV/0!</v>
      </c>
      <c r="BR25" s="3" t="e">
        <f t="shared" si="27"/>
        <v>#DIV/0!</v>
      </c>
      <c r="BS25" s="3" t="e">
        <f t="shared" si="27"/>
        <v>#DIV/0!</v>
      </c>
      <c r="BT25" s="3" t="e">
        <f t="shared" si="27"/>
        <v>#DIV/0!</v>
      </c>
      <c r="BU25" s="3" t="e">
        <f t="shared" si="27"/>
        <v>#DIV/0!</v>
      </c>
    </row>
    <row r="26" spans="1:73" x14ac:dyDescent="0.25">
      <c r="C26" s="10" t="s">
        <v>12</v>
      </c>
      <c r="D26" s="11" t="s">
        <v>122</v>
      </c>
      <c r="E26" s="3"/>
      <c r="F26" s="3"/>
      <c r="G26" s="3"/>
      <c r="H26" s="3"/>
      <c r="I26" s="3"/>
      <c r="J26" s="3"/>
      <c r="K26" s="3"/>
      <c r="L26" s="3">
        <f ca="1">L14/PM_Pop_Data!J6</f>
        <v>1.5554333974663302E-2</v>
      </c>
      <c r="M26" s="3">
        <f ca="1">M14/PM_Pop_Data!K6</f>
        <v>1.8050663776754267E-2</v>
      </c>
      <c r="N26" s="3">
        <f ca="1">N14/PM_Pop_Data!L6</f>
        <v>2.6335055986218776E-2</v>
      </c>
      <c r="O26" s="3">
        <f ca="1">O14/PM_Pop_Data!M6</f>
        <v>5.8414511632107098E-2</v>
      </c>
      <c r="P26" s="3">
        <f ca="1">P14/PM_Pop_Data!N6</f>
        <v>9.9832052193010792E-2</v>
      </c>
      <c r="Q26" s="3">
        <f ca="1">Q14/PM_Pop_Data!O6</f>
        <v>0.1381092319379473</v>
      </c>
      <c r="R26" s="3">
        <f ca="1">R14/PM_Pop_Data!P6</f>
        <v>0.16046482277903443</v>
      </c>
      <c r="S26" s="3">
        <f ca="1">S14/PM_Pop_Data!Q6</f>
        <v>0.16756294304571009</v>
      </c>
      <c r="T26" s="3">
        <f ca="1">T14/PM_Pop_Data!R6</f>
        <v>0.19486092762207069</v>
      </c>
      <c r="U26" s="3">
        <f ca="1">U14/PM_Pop_Data!S6</f>
        <v>0.19694061488132991</v>
      </c>
      <c r="V26" s="3">
        <f ca="1">V14/PM_Pop_Data!T6</f>
        <v>0.21360842169970801</v>
      </c>
      <c r="W26" s="3">
        <f ca="1">W14/PM_Pop_Data!U6</f>
        <v>0.23505421637431254</v>
      </c>
      <c r="X26" s="3">
        <f ca="1">X14/PM_Pop_Data!V6</f>
        <v>0.29695475764582696</v>
      </c>
      <c r="Y26" s="3">
        <f ca="1">Y14/PM_Pop_Data!W6</f>
        <v>0.32270884609816131</v>
      </c>
      <c r="Z26" s="3">
        <f ca="1">Z14/PM_Pop_Data!X6</f>
        <v>0.34143439224029137</v>
      </c>
      <c r="AA26" s="3">
        <f ca="1">AA14/PM_Pop_Data!Y6</f>
        <v>0.37701753520779469</v>
      </c>
      <c r="AB26" s="3">
        <f ca="1">AB14/PM_Pop_Data!Z6</f>
        <v>0.37117826557732059</v>
      </c>
      <c r="AC26" s="3">
        <f ca="1">AC14/PM_Pop_Data!AA6</f>
        <v>0.38118723704818352</v>
      </c>
      <c r="AD26" s="3">
        <f ca="1">AD14/PM_Pop_Data!AB6</f>
        <v>0.38714721697427701</v>
      </c>
      <c r="AE26" s="3">
        <f ca="1">AE14/PM_Pop_Data!AC6</f>
        <v>0.40429423712951834</v>
      </c>
      <c r="AF26" s="3">
        <f ca="1">AF14/PM_Pop_Data!AD6</f>
        <v>0.41373233029545253</v>
      </c>
      <c r="AG26" s="3">
        <f ca="1">AG14/PM_Pop_Data!AE6</f>
        <v>0.41785736155620418</v>
      </c>
      <c r="AH26" s="3">
        <f ca="1">AH14/PM_Pop_Data!AF6</f>
        <v>0.42724635692796176</v>
      </c>
      <c r="AI26" s="3">
        <f ca="1">AI14/PM_Pop_Data!AG6</f>
        <v>0.43299988062552225</v>
      </c>
      <c r="AJ26" s="3">
        <f ca="1">AJ14/PM_Pop_Data!AH6</f>
        <v>0.43985165972743612</v>
      </c>
      <c r="AK26" s="3">
        <f ca="1">AK14/PM_Pop_Data!AI6</f>
        <v>0.43606469677163284</v>
      </c>
      <c r="AL26" s="3">
        <f ca="1">AL14/PM_Pop_Data!AJ6</f>
        <v>0.45414932778489114</v>
      </c>
      <c r="AM26" s="3">
        <f ca="1">AM14/PM_Pop_Data!AK6</f>
        <v>0.46072962548603885</v>
      </c>
      <c r="AN26" s="3">
        <f ca="1">AN14/PM_Pop_Data!AL6</f>
        <v>0.45987562473770555</v>
      </c>
      <c r="AO26" s="3">
        <f ca="1">AO14/PM_Pop_Data!AM6</f>
        <v>0.46999029624136163</v>
      </c>
      <c r="AP26" s="3">
        <f ca="1">AP14/PM_Pop_Data!AN6</f>
        <v>0.4698129584439053</v>
      </c>
      <c r="AQ26" s="3">
        <f ca="1">AQ14/PM_Pop_Data!AO6</f>
        <v>0.46346835359189215</v>
      </c>
      <c r="AR26" s="3">
        <f ca="1">AR14/PM_Pop_Data!AP6</f>
        <v>0.48242307819693309</v>
      </c>
      <c r="AS26" s="3">
        <f ca="1">AS14/PM_Pop_Data!AQ6</f>
        <v>0.48892093306565398</v>
      </c>
      <c r="AT26" s="3">
        <f ca="1">AT14/PM_Pop_Data!AR6</f>
        <v>0.49035280313065149</v>
      </c>
      <c r="AU26" s="3"/>
      <c r="AV26" s="3"/>
      <c r="AW26" s="3"/>
      <c r="AX26" s="3" t="e">
        <f t="shared" ref="AX26:BU26" si="28">AX14/$A14</f>
        <v>#DIV/0!</v>
      </c>
      <c r="AY26" s="3" t="e">
        <f t="shared" si="28"/>
        <v>#DIV/0!</v>
      </c>
      <c r="AZ26" s="3" t="e">
        <f t="shared" si="28"/>
        <v>#DIV/0!</v>
      </c>
      <c r="BA26" s="3" t="e">
        <f t="shared" si="28"/>
        <v>#DIV/0!</v>
      </c>
      <c r="BB26" s="3" t="e">
        <f t="shared" si="28"/>
        <v>#DIV/0!</v>
      </c>
      <c r="BC26" s="3" t="e">
        <f t="shared" si="28"/>
        <v>#DIV/0!</v>
      </c>
      <c r="BD26" s="3" t="e">
        <f t="shared" si="28"/>
        <v>#DIV/0!</v>
      </c>
      <c r="BE26" s="3" t="e">
        <f t="shared" si="28"/>
        <v>#DIV/0!</v>
      </c>
      <c r="BF26" s="3" t="e">
        <f t="shared" si="28"/>
        <v>#DIV/0!</v>
      </c>
      <c r="BG26" s="3" t="e">
        <f t="shared" si="28"/>
        <v>#DIV/0!</v>
      </c>
      <c r="BH26" s="3" t="e">
        <f t="shared" si="28"/>
        <v>#DIV/0!</v>
      </c>
      <c r="BI26" s="3" t="e">
        <f t="shared" si="28"/>
        <v>#DIV/0!</v>
      </c>
      <c r="BJ26" s="3" t="e">
        <f t="shared" si="28"/>
        <v>#DIV/0!</v>
      </c>
      <c r="BK26" s="3" t="e">
        <f t="shared" si="28"/>
        <v>#DIV/0!</v>
      </c>
      <c r="BL26" s="3" t="e">
        <f t="shared" si="28"/>
        <v>#DIV/0!</v>
      </c>
      <c r="BM26" s="3" t="e">
        <f t="shared" si="28"/>
        <v>#DIV/0!</v>
      </c>
      <c r="BN26" s="3" t="e">
        <f t="shared" si="28"/>
        <v>#DIV/0!</v>
      </c>
      <c r="BO26" s="3" t="e">
        <f t="shared" si="28"/>
        <v>#DIV/0!</v>
      </c>
      <c r="BP26" s="3" t="e">
        <f t="shared" si="28"/>
        <v>#DIV/0!</v>
      </c>
      <c r="BQ26" s="3" t="e">
        <f t="shared" si="28"/>
        <v>#DIV/0!</v>
      </c>
      <c r="BR26" s="3" t="e">
        <f t="shared" si="28"/>
        <v>#DIV/0!</v>
      </c>
      <c r="BS26" s="3" t="e">
        <f t="shared" si="28"/>
        <v>#DIV/0!</v>
      </c>
      <c r="BT26" s="3" t="e">
        <f t="shared" si="28"/>
        <v>#DIV/0!</v>
      </c>
      <c r="BU26" s="3" t="e">
        <f t="shared" si="28"/>
        <v>#DIV/0!</v>
      </c>
    </row>
    <row r="27" spans="1:73" x14ac:dyDescent="0.25">
      <c r="C27" s="10" t="s">
        <v>8</v>
      </c>
      <c r="D27" s="11" t="s">
        <v>122</v>
      </c>
      <c r="E27" s="3"/>
      <c r="F27" s="3"/>
      <c r="G27" s="3"/>
      <c r="H27" s="3"/>
      <c r="I27" s="3"/>
      <c r="J27" s="3"/>
      <c r="K27" s="3"/>
      <c r="L27" s="3">
        <f ca="1">L15/PM_Pop_Data!J7</f>
        <v>9.1765785479829172E-3</v>
      </c>
      <c r="M27" s="3">
        <f ca="1">M15/PM_Pop_Data!K7</f>
        <v>1.8715305313243457E-2</v>
      </c>
      <c r="N27" s="3">
        <f ca="1">N15/PM_Pop_Data!L7</f>
        <v>2.8438175406665909E-2</v>
      </c>
      <c r="O27" s="3">
        <f ca="1">O15/PM_Pop_Data!M7</f>
        <v>5.3795159704380376E-2</v>
      </c>
      <c r="P27" s="3">
        <f ca="1">P15/PM_Pop_Data!N7</f>
        <v>7.5162097599817998E-2</v>
      </c>
      <c r="Q27" s="3">
        <f ca="1">Q15/PM_Pop_Data!O7</f>
        <v>0.1187639512680526</v>
      </c>
      <c r="R27" s="3">
        <f ca="1">R15/PM_Pop_Data!P7</f>
        <v>0.12824110158482724</v>
      </c>
      <c r="S27" s="3">
        <f ca="1">S15/PM_Pop_Data!Q7</f>
        <v>0.14701673000049351</v>
      </c>
      <c r="T27" s="3">
        <f ca="1">T15/PM_Pop_Data!R7</f>
        <v>0.16487971290594125</v>
      </c>
      <c r="U27" s="3">
        <f ca="1">U15/PM_Pop_Data!S7</f>
        <v>0.18070744546531731</v>
      </c>
      <c r="V27" s="3">
        <f ca="1">V15/PM_Pop_Data!T7</f>
        <v>0.20553494230180072</v>
      </c>
      <c r="W27" s="3">
        <f ca="1">W15/PM_Pop_Data!U7</f>
        <v>0.24503591043514997</v>
      </c>
      <c r="X27" s="3">
        <f ca="1">X15/PM_Pop_Data!V7</f>
        <v>0.29392496436262172</v>
      </c>
      <c r="Y27" s="3">
        <f ca="1">Y15/PM_Pop_Data!W7</f>
        <v>0.31609264551060312</v>
      </c>
      <c r="Z27" s="3">
        <f ca="1">Z15/PM_Pop_Data!X7</f>
        <v>0.34600834078045872</v>
      </c>
      <c r="AA27" s="3">
        <f ca="1">AA15/PM_Pop_Data!Y7</f>
        <v>0.36769793140152096</v>
      </c>
      <c r="AB27" s="3">
        <f ca="1">AB15/PM_Pop_Data!Z7</f>
        <v>0.38028439170353701</v>
      </c>
      <c r="AC27" s="3">
        <f ca="1">AC15/PM_Pop_Data!AA7</f>
        <v>0.38532882656343198</v>
      </c>
      <c r="AD27" s="3">
        <f ca="1">AD15/PM_Pop_Data!AB7</f>
        <v>0.39807012040112072</v>
      </c>
      <c r="AE27" s="3">
        <f ca="1">AE15/PM_Pop_Data!AC7</f>
        <v>0.40776218835167055</v>
      </c>
      <c r="AF27" s="3">
        <f ca="1">AF15/PM_Pop_Data!AD7</f>
        <v>0.41053799647968164</v>
      </c>
      <c r="AG27" s="3">
        <f ca="1">AG15/PM_Pop_Data!AE7</f>
        <v>0.42348413741317814</v>
      </c>
      <c r="AH27" s="3">
        <f ca="1">AH15/PM_Pop_Data!AF7</f>
        <v>0.43818885910038724</v>
      </c>
      <c r="AI27" s="3">
        <f ca="1">AI15/PM_Pop_Data!AG7</f>
        <v>0.45099727116995358</v>
      </c>
      <c r="AJ27" s="3">
        <f ca="1">AJ15/PM_Pop_Data!AH7</f>
        <v>0.45808901592486728</v>
      </c>
      <c r="AK27" s="3">
        <f ca="1">AK15/PM_Pop_Data!AI7</f>
        <v>0.46093966980404261</v>
      </c>
      <c r="AL27" s="3">
        <f ca="1">AL15/PM_Pop_Data!AJ7</f>
        <v>0.47162838257312933</v>
      </c>
      <c r="AM27" s="3">
        <f ca="1">AM15/PM_Pop_Data!AK7</f>
        <v>0.46918378291787682</v>
      </c>
      <c r="AN27" s="3">
        <f ca="1">AN15/PM_Pop_Data!AL7</f>
        <v>0.47879704575804649</v>
      </c>
      <c r="AO27" s="3">
        <f ca="1">AO15/PM_Pop_Data!AM7</f>
        <v>0.49421497432915507</v>
      </c>
      <c r="AP27" s="3">
        <f ca="1">AP15/PM_Pop_Data!AN7</f>
        <v>0.49897374822623153</v>
      </c>
      <c r="AQ27" s="3">
        <f ca="1">AQ15/PM_Pop_Data!AO7</f>
        <v>0.49245462778908244</v>
      </c>
      <c r="AR27" s="3">
        <f ca="1">AR15/PM_Pop_Data!AP7</f>
        <v>0.51917218504099083</v>
      </c>
      <c r="AS27" s="3">
        <f ca="1">AS15/PM_Pop_Data!AQ7</f>
        <v>0.5256198254768103</v>
      </c>
      <c r="AT27" s="3">
        <f ca="1">AT15/PM_Pop_Data!AR7</f>
        <v>0.52462853543033405</v>
      </c>
      <c r="AU27" s="3"/>
      <c r="AV27" s="3"/>
      <c r="AW27" s="3"/>
      <c r="AX27" s="3" t="e">
        <f t="shared" ref="AX27:BU27" si="29">AX15/$A15</f>
        <v>#DIV/0!</v>
      </c>
      <c r="AY27" s="3" t="e">
        <f t="shared" si="29"/>
        <v>#DIV/0!</v>
      </c>
      <c r="AZ27" s="3" t="e">
        <f t="shared" si="29"/>
        <v>#DIV/0!</v>
      </c>
      <c r="BA27" s="3" t="e">
        <f t="shared" si="29"/>
        <v>#DIV/0!</v>
      </c>
      <c r="BB27" s="3" t="e">
        <f t="shared" si="29"/>
        <v>#DIV/0!</v>
      </c>
      <c r="BC27" s="3" t="e">
        <f t="shared" si="29"/>
        <v>#DIV/0!</v>
      </c>
      <c r="BD27" s="3" t="e">
        <f t="shared" si="29"/>
        <v>#DIV/0!</v>
      </c>
      <c r="BE27" s="3" t="e">
        <f t="shared" si="29"/>
        <v>#DIV/0!</v>
      </c>
      <c r="BF27" s="3" t="e">
        <f t="shared" si="29"/>
        <v>#DIV/0!</v>
      </c>
      <c r="BG27" s="3" t="e">
        <f t="shared" si="29"/>
        <v>#DIV/0!</v>
      </c>
      <c r="BH27" s="3" t="e">
        <f t="shared" si="29"/>
        <v>#DIV/0!</v>
      </c>
      <c r="BI27" s="3" t="e">
        <f t="shared" si="29"/>
        <v>#DIV/0!</v>
      </c>
      <c r="BJ27" s="3" t="e">
        <f t="shared" si="29"/>
        <v>#DIV/0!</v>
      </c>
      <c r="BK27" s="3" t="e">
        <f t="shared" si="29"/>
        <v>#DIV/0!</v>
      </c>
      <c r="BL27" s="3" t="e">
        <f t="shared" si="29"/>
        <v>#DIV/0!</v>
      </c>
      <c r="BM27" s="3" t="e">
        <f t="shared" si="29"/>
        <v>#DIV/0!</v>
      </c>
      <c r="BN27" s="3" t="e">
        <f t="shared" si="29"/>
        <v>#DIV/0!</v>
      </c>
      <c r="BO27" s="3" t="e">
        <f t="shared" si="29"/>
        <v>#DIV/0!</v>
      </c>
      <c r="BP27" s="3" t="e">
        <f t="shared" si="29"/>
        <v>#DIV/0!</v>
      </c>
      <c r="BQ27" s="3" t="e">
        <f t="shared" si="29"/>
        <v>#DIV/0!</v>
      </c>
      <c r="BR27" s="3" t="e">
        <f t="shared" si="29"/>
        <v>#DIV/0!</v>
      </c>
      <c r="BS27" s="3" t="e">
        <f t="shared" si="29"/>
        <v>#DIV/0!</v>
      </c>
      <c r="BT27" s="3" t="e">
        <f t="shared" si="29"/>
        <v>#DIV/0!</v>
      </c>
      <c r="BU27" s="3" t="e">
        <f t="shared" si="29"/>
        <v>#DIV/0!</v>
      </c>
    </row>
    <row r="28" spans="1:73" x14ac:dyDescent="0.25">
      <c r="C28" s="10" t="s">
        <v>4</v>
      </c>
      <c r="D28" s="11" t="s">
        <v>122</v>
      </c>
      <c r="E28" s="3"/>
      <c r="F28" s="3"/>
      <c r="G28" s="3"/>
      <c r="H28" s="3"/>
      <c r="I28" s="3"/>
      <c r="J28" s="3"/>
      <c r="K28" s="3"/>
      <c r="L28" s="3">
        <f ca="1">L16/PM_Pop_Data!J8</f>
        <v>2.889927751806205E-3</v>
      </c>
      <c r="M28" s="3">
        <f ca="1">M16/PM_Pop_Data!K8</f>
        <v>1.0088713727041709E-2</v>
      </c>
      <c r="N28" s="3">
        <f ca="1">N16/PM_Pop_Data!L8</f>
        <v>1.6231265119673481E-2</v>
      </c>
      <c r="O28" s="3">
        <f ca="1">O16/PM_Pop_Data!M8</f>
        <v>2.7325563703861487E-2</v>
      </c>
      <c r="P28" s="3">
        <f ca="1">P16/PM_Pop_Data!N8</f>
        <v>4.9904731017148415E-2</v>
      </c>
      <c r="Q28" s="3">
        <f ca="1">Q16/PM_Pop_Data!O8</f>
        <v>7.4741064479434835E-2</v>
      </c>
      <c r="R28" s="3">
        <f ca="1">R16/PM_Pop_Data!P8</f>
        <v>8.3328569305176015E-2</v>
      </c>
      <c r="S28" s="3">
        <f ca="1">S16/PM_Pop_Data!Q8</f>
        <v>0.10599372498106675</v>
      </c>
      <c r="T28" s="3">
        <f ca="1">T16/PM_Pop_Data!R8</f>
        <v>0.12886416803044146</v>
      </c>
      <c r="U28" s="3">
        <f ca="1">U16/PM_Pop_Data!S8</f>
        <v>0.15629175896612646</v>
      </c>
      <c r="V28" s="3">
        <f ca="1">V16/PM_Pop_Data!T8</f>
        <v>0.18836639506393923</v>
      </c>
      <c r="W28" s="3">
        <f ca="1">W16/PM_Pop_Data!U8</f>
        <v>0.22334098894246127</v>
      </c>
      <c r="X28" s="3">
        <f ca="1">X16/PM_Pop_Data!V8</f>
        <v>0.26477403987573805</v>
      </c>
      <c r="Y28" s="3">
        <f ca="1">Y16/PM_Pop_Data!W8</f>
        <v>0.28374347501864278</v>
      </c>
      <c r="Z28" s="3">
        <f ca="1">Z16/PM_Pop_Data!X8</f>
        <v>0.3118743097367202</v>
      </c>
      <c r="AA28" s="3">
        <f ca="1">AA16/PM_Pop_Data!Y8</f>
        <v>0.33605650170860946</v>
      </c>
      <c r="AB28" s="3">
        <f ca="1">AB16/PM_Pop_Data!Z8</f>
        <v>0.33688926008883491</v>
      </c>
      <c r="AC28" s="3">
        <f ca="1">AC16/PM_Pop_Data!AA8</f>
        <v>0.34254483287568571</v>
      </c>
      <c r="AD28" s="3">
        <f ca="1">AD16/PM_Pop_Data!AB8</f>
        <v>0.34772769109159618</v>
      </c>
      <c r="AE28" s="3">
        <f ca="1">AE16/PM_Pop_Data!AC8</f>
        <v>0.36398444481052722</v>
      </c>
      <c r="AF28" s="3">
        <f ca="1">AF16/PM_Pop_Data!AD8</f>
        <v>0.37626244225192007</v>
      </c>
      <c r="AG28" s="3">
        <f ca="1">AG16/PM_Pop_Data!AE8</f>
        <v>0.39005554867416842</v>
      </c>
      <c r="AH28" s="3">
        <f ca="1">AH16/PM_Pop_Data!AF8</f>
        <v>0.40200123692688283</v>
      </c>
      <c r="AI28" s="3">
        <f ca="1">AI16/PM_Pop_Data!AG8</f>
        <v>0.41776950308585342</v>
      </c>
      <c r="AJ28" s="3">
        <f ca="1">AJ16/PM_Pop_Data!AH8</f>
        <v>0.42524139565191638</v>
      </c>
      <c r="AK28" s="3">
        <f ca="1">AK16/PM_Pop_Data!AI8</f>
        <v>0.4251842727435281</v>
      </c>
      <c r="AL28" s="3">
        <f ca="1">AL16/PM_Pop_Data!AJ8</f>
        <v>0.4366223455850532</v>
      </c>
      <c r="AM28" s="3">
        <f ca="1">AM16/PM_Pop_Data!AK8</f>
        <v>0.44291261923912606</v>
      </c>
      <c r="AN28" s="3">
        <f ca="1">AN16/PM_Pop_Data!AL8</f>
        <v>0.45276386013628439</v>
      </c>
      <c r="AO28" s="3">
        <f ca="1">AO16/PM_Pop_Data!AM8</f>
        <v>0.4627205249015981</v>
      </c>
      <c r="AP28" s="3">
        <f ca="1">AP16/PM_Pop_Data!AN8</f>
        <v>0.47093602252462391</v>
      </c>
      <c r="AQ28" s="3">
        <f ca="1">AQ16/PM_Pop_Data!AO8</f>
        <v>0.45791462603543143</v>
      </c>
      <c r="AR28" s="3">
        <f ca="1">AR16/PM_Pop_Data!AP8</f>
        <v>0.48380796904286838</v>
      </c>
      <c r="AS28" s="3">
        <f ca="1">AS16/PM_Pop_Data!AQ8</f>
        <v>0.49315214020741693</v>
      </c>
      <c r="AT28" s="3">
        <f ca="1">AT16/PM_Pop_Data!AR8</f>
        <v>0.49691572655684718</v>
      </c>
      <c r="AU28" s="3"/>
      <c r="AV28" s="3"/>
      <c r="AW28" s="3"/>
      <c r="AX28" s="3" t="e">
        <f t="shared" ref="AX28:BU28" si="30">AX16/$A16</f>
        <v>#DIV/0!</v>
      </c>
      <c r="AY28" s="3" t="e">
        <f t="shared" si="30"/>
        <v>#DIV/0!</v>
      </c>
      <c r="AZ28" s="3" t="e">
        <f t="shared" si="30"/>
        <v>#DIV/0!</v>
      </c>
      <c r="BA28" s="3" t="e">
        <f t="shared" si="30"/>
        <v>#DIV/0!</v>
      </c>
      <c r="BB28" s="3" t="e">
        <f t="shared" si="30"/>
        <v>#DIV/0!</v>
      </c>
      <c r="BC28" s="3" t="e">
        <f t="shared" si="30"/>
        <v>#DIV/0!</v>
      </c>
      <c r="BD28" s="3" t="e">
        <f t="shared" si="30"/>
        <v>#DIV/0!</v>
      </c>
      <c r="BE28" s="3" t="e">
        <f t="shared" si="30"/>
        <v>#DIV/0!</v>
      </c>
      <c r="BF28" s="3" t="e">
        <f t="shared" si="30"/>
        <v>#DIV/0!</v>
      </c>
      <c r="BG28" s="3" t="e">
        <f t="shared" si="30"/>
        <v>#DIV/0!</v>
      </c>
      <c r="BH28" s="3" t="e">
        <f t="shared" si="30"/>
        <v>#DIV/0!</v>
      </c>
      <c r="BI28" s="3" t="e">
        <f t="shared" si="30"/>
        <v>#DIV/0!</v>
      </c>
      <c r="BJ28" s="3" t="e">
        <f t="shared" si="30"/>
        <v>#DIV/0!</v>
      </c>
      <c r="BK28" s="3" t="e">
        <f t="shared" si="30"/>
        <v>#DIV/0!</v>
      </c>
      <c r="BL28" s="3" t="e">
        <f t="shared" si="30"/>
        <v>#DIV/0!</v>
      </c>
      <c r="BM28" s="3" t="e">
        <f t="shared" si="30"/>
        <v>#DIV/0!</v>
      </c>
      <c r="BN28" s="3" t="e">
        <f t="shared" si="30"/>
        <v>#DIV/0!</v>
      </c>
      <c r="BO28" s="3" t="e">
        <f t="shared" si="30"/>
        <v>#DIV/0!</v>
      </c>
      <c r="BP28" s="3" t="e">
        <f t="shared" si="30"/>
        <v>#DIV/0!</v>
      </c>
      <c r="BQ28" s="3" t="e">
        <f t="shared" si="30"/>
        <v>#DIV/0!</v>
      </c>
      <c r="BR28" s="3" t="e">
        <f t="shared" si="30"/>
        <v>#DIV/0!</v>
      </c>
      <c r="BS28" s="3" t="e">
        <f t="shared" si="30"/>
        <v>#DIV/0!</v>
      </c>
      <c r="BT28" s="3" t="e">
        <f t="shared" si="30"/>
        <v>#DIV/0!</v>
      </c>
      <c r="BU28" s="3" t="e">
        <f t="shared" si="30"/>
        <v>#DIV/0!</v>
      </c>
    </row>
    <row r="29" spans="1:73" x14ac:dyDescent="0.25">
      <c r="C29" s="10" t="s">
        <v>17</v>
      </c>
      <c r="D29" s="11" t="s">
        <v>122</v>
      </c>
      <c r="E29" s="3"/>
      <c r="F29" s="3"/>
      <c r="G29" s="3"/>
      <c r="H29" s="3"/>
      <c r="I29" s="3"/>
      <c r="J29" s="3"/>
      <c r="K29" s="3"/>
      <c r="L29" s="149">
        <f ca="1">L17/PM_Pop_Data!J9</f>
        <v>1.1491043562968064E-2</v>
      </c>
      <c r="M29" s="3">
        <f ca="1">M17/PM_Pop_Data!K9</f>
        <v>1.5638380126537024E-2</v>
      </c>
      <c r="N29" s="3">
        <f ca="1">N17/PM_Pop_Data!L9</f>
        <v>2.9553203849165256E-2</v>
      </c>
      <c r="O29" s="3">
        <f ca="1">O17/PM_Pop_Data!M9</f>
        <v>5.6280187212675928E-2</v>
      </c>
      <c r="P29" s="3">
        <f ca="1">P17/PM_Pop_Data!N9</f>
        <v>8.2917034979164042E-2</v>
      </c>
      <c r="Q29" s="3">
        <f ca="1">Q17/PM_Pop_Data!O9</f>
        <v>0.11299830614617057</v>
      </c>
      <c r="R29" s="3">
        <f ca="1">R17/PM_Pop_Data!P9</f>
        <v>0.12754942442442443</v>
      </c>
      <c r="S29" s="3">
        <f ca="1">S17/PM_Pop_Data!Q9</f>
        <v>0.14650546005089604</v>
      </c>
      <c r="T29" s="3">
        <f ca="1">T17/PM_Pop_Data!R9</f>
        <v>0.1693864359983083</v>
      </c>
      <c r="U29" s="3">
        <f ca="1">U17/PM_Pop_Data!S9</f>
        <v>0.18520749568170933</v>
      </c>
      <c r="V29" s="3">
        <f ca="1">V17/PM_Pop_Data!T9</f>
        <v>0.20684386707167732</v>
      </c>
      <c r="W29" s="3">
        <f ca="1">W17/PM_Pop_Data!U9</f>
        <v>0.23890061101586882</v>
      </c>
      <c r="X29" s="3">
        <f ca="1">X17/PM_Pop_Data!V9</f>
        <v>0.29029159311812969</v>
      </c>
      <c r="Y29" s="3">
        <f ca="1">Y17/PM_Pop_Data!W9</f>
        <v>0.3129326157353241</v>
      </c>
      <c r="Z29" s="3">
        <f ca="1">Z17/PM_Pop_Data!X9</f>
        <v>0.33759270882799264</v>
      </c>
      <c r="AA29" s="3">
        <f ca="1">AA17/PM_Pop_Data!Y9</f>
        <v>0.3646475263386672</v>
      </c>
      <c r="AB29" s="3">
        <f ca="1">AB17/PM_Pop_Data!Z9</f>
        <v>0.37414722207253326</v>
      </c>
      <c r="AC29" s="3">
        <f ca="1">AC17/PM_Pop_Data!AA9</f>
        <v>0.38394996807271908</v>
      </c>
      <c r="AD29" s="3">
        <f ca="1">AD17/PM_Pop_Data!AB9</f>
        <v>0.38891075641721379</v>
      </c>
      <c r="AE29" s="3">
        <f ca="1">AE17/PM_Pop_Data!AC9</f>
        <v>0.40511802528805074</v>
      </c>
      <c r="AF29" s="3">
        <f ca="1">AF17/PM_Pop_Data!AD9</f>
        <v>0.41389364518696647</v>
      </c>
      <c r="AG29" s="3">
        <f ca="1">AG17/PM_Pop_Data!AE9</f>
        <v>0.42369854589951117</v>
      </c>
      <c r="AH29" s="3">
        <f ca="1">AH17/PM_Pop_Data!AF9</f>
        <v>0.43878653186361771</v>
      </c>
      <c r="AI29" s="3">
        <f ca="1">AI17/PM_Pop_Data!AG9</f>
        <v>0.45225818878363377</v>
      </c>
      <c r="AJ29" s="3">
        <f ca="1">AJ17/PM_Pop_Data!AH9</f>
        <v>0.46402203612133186</v>
      </c>
      <c r="AK29" s="3">
        <f ca="1">AK17/PM_Pop_Data!AI9</f>
        <v>0.46185677565476857</v>
      </c>
      <c r="AL29" s="3">
        <f ca="1">AL17/PM_Pop_Data!AJ9</f>
        <v>0.47359490017270817</v>
      </c>
      <c r="AM29" s="3">
        <f ca="1">AM17/PM_Pop_Data!AK9</f>
        <v>0.47838599699520717</v>
      </c>
      <c r="AN29" s="3">
        <f ca="1">AN17/PM_Pop_Data!AL9</f>
        <v>0.48514469704361401</v>
      </c>
      <c r="AO29" s="3">
        <f ca="1">AO17/PM_Pop_Data!AM9</f>
        <v>0.49519581798963574</v>
      </c>
      <c r="AP29" s="3">
        <f ca="1">AP17/PM_Pop_Data!AN9</f>
        <v>0.50253133706259823</v>
      </c>
      <c r="AQ29" s="3">
        <f ca="1">AQ17/PM_Pop_Data!AO9</f>
        <v>0.49042527538699671</v>
      </c>
      <c r="AR29" s="3">
        <f ca="1">AR17/PM_Pop_Data!AP9</f>
        <v>0.51632451816537095</v>
      </c>
      <c r="AS29" s="3">
        <f ca="1">AS17/PM_Pop_Data!AQ9</f>
        <v>0.52325620676489726</v>
      </c>
      <c r="AT29" s="3">
        <f ca="1">AT17/PM_Pop_Data!AR9</f>
        <v>0.52506126530385788</v>
      </c>
      <c r="AU29" s="3"/>
      <c r="AV29" s="3"/>
      <c r="AW29" s="3"/>
      <c r="AX29" s="3" t="e">
        <f t="shared" ref="AX29:BU29" si="31">AX17/$A17</f>
        <v>#DIV/0!</v>
      </c>
      <c r="AY29" s="3" t="e">
        <f t="shared" si="31"/>
        <v>#DIV/0!</v>
      </c>
      <c r="AZ29" s="3" t="e">
        <f t="shared" si="31"/>
        <v>#DIV/0!</v>
      </c>
      <c r="BA29" s="3" t="e">
        <f t="shared" si="31"/>
        <v>#DIV/0!</v>
      </c>
      <c r="BB29" s="3" t="e">
        <f t="shared" si="31"/>
        <v>#DIV/0!</v>
      </c>
      <c r="BC29" s="3" t="e">
        <f t="shared" si="31"/>
        <v>#DIV/0!</v>
      </c>
      <c r="BD29" s="3" t="e">
        <f t="shared" si="31"/>
        <v>#DIV/0!</v>
      </c>
      <c r="BE29" s="3" t="e">
        <f t="shared" si="31"/>
        <v>#DIV/0!</v>
      </c>
      <c r="BF29" s="3" t="e">
        <f t="shared" si="31"/>
        <v>#DIV/0!</v>
      </c>
      <c r="BG29" s="3" t="e">
        <f t="shared" si="31"/>
        <v>#DIV/0!</v>
      </c>
      <c r="BH29" s="3" t="e">
        <f t="shared" si="31"/>
        <v>#DIV/0!</v>
      </c>
      <c r="BI29" s="3" t="e">
        <f t="shared" si="31"/>
        <v>#DIV/0!</v>
      </c>
      <c r="BJ29" s="3" t="e">
        <f t="shared" si="31"/>
        <v>#DIV/0!</v>
      </c>
      <c r="BK29" s="3" t="e">
        <f t="shared" si="31"/>
        <v>#DIV/0!</v>
      </c>
      <c r="BL29" s="3" t="e">
        <f t="shared" si="31"/>
        <v>#DIV/0!</v>
      </c>
      <c r="BM29" s="3" t="e">
        <f t="shared" si="31"/>
        <v>#DIV/0!</v>
      </c>
      <c r="BN29" s="3" t="e">
        <f t="shared" si="31"/>
        <v>#DIV/0!</v>
      </c>
      <c r="BO29" s="3" t="e">
        <f t="shared" si="31"/>
        <v>#DIV/0!</v>
      </c>
      <c r="BP29" s="3" t="e">
        <f t="shared" si="31"/>
        <v>#DIV/0!</v>
      </c>
      <c r="BQ29" s="3" t="e">
        <f t="shared" si="31"/>
        <v>#DIV/0!</v>
      </c>
      <c r="BR29" s="3" t="e">
        <f t="shared" si="31"/>
        <v>#DIV/0!</v>
      </c>
      <c r="BS29" s="3" t="e">
        <f t="shared" si="31"/>
        <v>#DIV/0!</v>
      </c>
      <c r="BT29" s="3" t="e">
        <f t="shared" si="31"/>
        <v>#DIV/0!</v>
      </c>
      <c r="BU29" s="3" t="e">
        <f t="shared" si="31"/>
        <v>#DIV/0!</v>
      </c>
    </row>
    <row r="30" spans="1:73" x14ac:dyDescent="0.25"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</row>
    <row r="31" spans="1:73" x14ac:dyDescent="0.25"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</row>
    <row r="32" spans="1:73" x14ac:dyDescent="0.25"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</row>
    <row r="33" spans="3:73" x14ac:dyDescent="0.25"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</row>
    <row r="34" spans="3:73" x14ac:dyDescent="0.25"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</row>
    <row r="35" spans="3:73" x14ac:dyDescent="0.25"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</row>
    <row r="36" spans="3:73" x14ac:dyDescent="0.25"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</row>
    <row r="37" spans="3:73" x14ac:dyDescent="0.25">
      <c r="C37" t="s">
        <v>94</v>
      </c>
    </row>
    <row r="38" spans="3:73" x14ac:dyDescent="0.25">
      <c r="C38" s="10" t="s">
        <v>0</v>
      </c>
      <c r="D38" s="10" t="s">
        <v>16</v>
      </c>
      <c r="E38" s="1">
        <f>E10</f>
        <v>44452</v>
      </c>
      <c r="F38" s="1">
        <f t="shared" ref="F38:AM38" si="32">F10</f>
        <v>44453</v>
      </c>
      <c r="G38" s="1">
        <f t="shared" si="32"/>
        <v>44454</v>
      </c>
      <c r="H38" s="1">
        <f t="shared" si="32"/>
        <v>44455</v>
      </c>
      <c r="I38" s="1">
        <f t="shared" si="32"/>
        <v>44456</v>
      </c>
      <c r="J38" s="1">
        <f t="shared" si="32"/>
        <v>44457</v>
      </c>
      <c r="K38" s="1">
        <f t="shared" si="32"/>
        <v>44458</v>
      </c>
      <c r="L38" s="1">
        <f t="shared" si="32"/>
        <v>44459</v>
      </c>
      <c r="M38" s="1">
        <f t="shared" si="32"/>
        <v>44460</v>
      </c>
      <c r="N38" s="1">
        <f t="shared" si="32"/>
        <v>44461</v>
      </c>
      <c r="O38" s="1">
        <f t="shared" si="32"/>
        <v>44462</v>
      </c>
      <c r="P38" s="1">
        <f t="shared" si="32"/>
        <v>44463</v>
      </c>
      <c r="Q38" s="1">
        <f t="shared" si="32"/>
        <v>44464</v>
      </c>
      <c r="R38" s="1">
        <f t="shared" si="32"/>
        <v>44465</v>
      </c>
      <c r="S38" s="1">
        <f t="shared" si="32"/>
        <v>44466</v>
      </c>
      <c r="T38" s="1">
        <f t="shared" si="32"/>
        <v>44467</v>
      </c>
      <c r="U38" s="1">
        <f t="shared" si="32"/>
        <v>44468</v>
      </c>
      <c r="V38" s="1">
        <f t="shared" si="32"/>
        <v>44469</v>
      </c>
      <c r="W38" s="1">
        <f t="shared" si="32"/>
        <v>44470</v>
      </c>
      <c r="X38" s="1">
        <f t="shared" si="32"/>
        <v>44471</v>
      </c>
      <c r="Y38" s="1">
        <f t="shared" si="32"/>
        <v>44472</v>
      </c>
      <c r="Z38" s="1">
        <f t="shared" si="32"/>
        <v>44473</v>
      </c>
      <c r="AA38" s="1">
        <f t="shared" si="32"/>
        <v>44474</v>
      </c>
      <c r="AB38" s="1">
        <f t="shared" si="32"/>
        <v>44475</v>
      </c>
      <c r="AC38" s="1">
        <f t="shared" si="32"/>
        <v>44476</v>
      </c>
      <c r="AD38" s="1">
        <f t="shared" si="32"/>
        <v>44477</v>
      </c>
      <c r="AE38" s="1">
        <f t="shared" si="32"/>
        <v>44478</v>
      </c>
      <c r="AF38" s="1">
        <f t="shared" si="32"/>
        <v>44479</v>
      </c>
      <c r="AG38" s="1">
        <f t="shared" si="32"/>
        <v>44480</v>
      </c>
      <c r="AH38" s="1">
        <f t="shared" si="32"/>
        <v>44481</v>
      </c>
      <c r="AI38" s="1">
        <f t="shared" si="32"/>
        <v>44482</v>
      </c>
      <c r="AJ38" s="1">
        <f t="shared" si="32"/>
        <v>44483</v>
      </c>
      <c r="AK38" s="1">
        <f t="shared" si="32"/>
        <v>44484</v>
      </c>
      <c r="AL38" s="1">
        <f t="shared" si="32"/>
        <v>44485</v>
      </c>
      <c r="AM38" s="1">
        <f t="shared" si="32"/>
        <v>44486</v>
      </c>
      <c r="AN38" s="1">
        <f t="shared" ref="AN38" si="33">AN10</f>
        <v>44487</v>
      </c>
      <c r="AO38" s="1">
        <f t="shared" ref="AO38:AT38" si="34">AO10</f>
        <v>44488</v>
      </c>
      <c r="AP38" s="1">
        <f t="shared" ref="AP38:AT38" si="35">AP10</f>
        <v>44489</v>
      </c>
      <c r="AQ38" s="1">
        <f t="shared" si="35"/>
        <v>44490</v>
      </c>
      <c r="AR38" s="1">
        <f t="shared" si="35"/>
        <v>44491</v>
      </c>
      <c r="AS38" s="1">
        <f t="shared" si="35"/>
        <v>44492</v>
      </c>
      <c r="AT38" s="1">
        <f t="shared" si="35"/>
        <v>44493</v>
      </c>
      <c r="AU38" s="1"/>
      <c r="AV38" s="1"/>
      <c r="AW38" s="1"/>
      <c r="AX38" s="1">
        <f t="shared" ref="AX38:BU38" si="36">AW38+1</f>
        <v>1</v>
      </c>
      <c r="AY38" s="1">
        <f t="shared" si="36"/>
        <v>2</v>
      </c>
      <c r="AZ38" s="1">
        <f t="shared" si="36"/>
        <v>3</v>
      </c>
      <c r="BA38" s="1">
        <f t="shared" si="36"/>
        <v>4</v>
      </c>
      <c r="BB38" s="1">
        <f t="shared" si="36"/>
        <v>5</v>
      </c>
      <c r="BC38" s="1">
        <f t="shared" si="36"/>
        <v>6</v>
      </c>
      <c r="BD38" s="1">
        <f t="shared" si="36"/>
        <v>7</v>
      </c>
      <c r="BE38" s="1">
        <f t="shared" si="36"/>
        <v>8</v>
      </c>
      <c r="BF38" s="1">
        <f t="shared" si="36"/>
        <v>9</v>
      </c>
      <c r="BG38" s="1">
        <f t="shared" si="36"/>
        <v>10</v>
      </c>
      <c r="BH38" s="1">
        <f t="shared" si="36"/>
        <v>11</v>
      </c>
      <c r="BI38" s="1">
        <f t="shared" si="36"/>
        <v>12</v>
      </c>
      <c r="BJ38" s="1">
        <f t="shared" si="36"/>
        <v>13</v>
      </c>
      <c r="BK38" s="1">
        <f t="shared" si="36"/>
        <v>14</v>
      </c>
      <c r="BL38" s="1">
        <f t="shared" si="36"/>
        <v>15</v>
      </c>
      <c r="BM38" s="1">
        <f t="shared" si="36"/>
        <v>16</v>
      </c>
      <c r="BN38" s="1">
        <f t="shared" si="36"/>
        <v>17</v>
      </c>
      <c r="BO38" s="1">
        <f t="shared" si="36"/>
        <v>18</v>
      </c>
      <c r="BP38" s="1">
        <f t="shared" si="36"/>
        <v>19</v>
      </c>
      <c r="BQ38" s="1">
        <f t="shared" si="36"/>
        <v>20</v>
      </c>
      <c r="BR38" s="1">
        <f t="shared" si="36"/>
        <v>21</v>
      </c>
      <c r="BS38" s="1">
        <f t="shared" si="36"/>
        <v>22</v>
      </c>
      <c r="BT38" s="1">
        <f t="shared" si="36"/>
        <v>23</v>
      </c>
      <c r="BU38" s="1">
        <f t="shared" si="36"/>
        <v>24</v>
      </c>
    </row>
    <row r="39" spans="3:73" x14ac:dyDescent="0.25">
      <c r="C39" s="11" t="str">
        <f>C11</f>
        <v>Buckinghamshire, Oxfordshire and Berkshire West</v>
      </c>
      <c r="D39" s="11" t="s">
        <v>122</v>
      </c>
      <c r="E39" s="12">
        <f t="shared" ref="E39:O44" ca="1" si="37">INDEX(pm_d_1_Val,MATCH($C39,pm_d_2_Row,0),MATCH(E$10,pm_d_3_Col,0))</f>
        <v>1</v>
      </c>
      <c r="F39" s="12">
        <f t="shared" ca="1" si="37"/>
        <v>8</v>
      </c>
      <c r="G39" s="12">
        <f t="shared" ca="1" si="37"/>
        <v>184</v>
      </c>
      <c r="H39" s="12">
        <f t="shared" ca="1" si="37"/>
        <v>254</v>
      </c>
      <c r="I39" s="12">
        <f t="shared" ca="1" si="37"/>
        <v>228</v>
      </c>
      <c r="J39" s="12">
        <f t="shared" ca="1" si="37"/>
        <v>544</v>
      </c>
      <c r="K39" s="12">
        <f t="shared" ca="1" si="37"/>
        <v>1</v>
      </c>
      <c r="L39" s="12">
        <f t="shared" ca="1" si="37"/>
        <v>11</v>
      </c>
      <c r="M39" s="12">
        <f t="shared" ca="1" si="37"/>
        <v>121</v>
      </c>
      <c r="N39" s="12">
        <f t="shared" ca="1" si="37"/>
        <v>1813</v>
      </c>
      <c r="O39" s="12">
        <f t="shared" ca="1" si="37"/>
        <v>2292</v>
      </c>
      <c r="P39" s="12">
        <f t="shared" ref="P39:AE44" ca="1" si="38">INDEX(pm_d_1_Val,MATCH($C39,pm_d_2_Row,0),MATCH(P$10,pm_d_3_Col,0))</f>
        <v>2312</v>
      </c>
      <c r="Q39" s="12">
        <f t="shared" ca="1" si="38"/>
        <v>3127</v>
      </c>
      <c r="R39" s="12">
        <f t="shared" ca="1" si="38"/>
        <v>1330</v>
      </c>
      <c r="S39" s="12">
        <f t="shared" ca="1" si="38"/>
        <v>1830</v>
      </c>
      <c r="T39" s="12">
        <f t="shared" ca="1" si="38"/>
        <v>1495</v>
      </c>
      <c r="U39" s="12">
        <f t="shared" ca="1" si="38"/>
        <v>2561</v>
      </c>
      <c r="V39" s="12">
        <f t="shared" ca="1" si="38"/>
        <v>2977</v>
      </c>
      <c r="W39" s="12">
        <f t="shared" ca="1" si="38"/>
        <v>5717</v>
      </c>
      <c r="X39" s="12">
        <f t="shared" ca="1" si="38"/>
        <v>6663</v>
      </c>
      <c r="Y39" s="12">
        <f t="shared" ca="1" si="38"/>
        <v>1291</v>
      </c>
      <c r="Z39" s="12">
        <f t="shared" ca="1" si="38"/>
        <v>2474</v>
      </c>
      <c r="AA39" s="12">
        <f t="shared" ca="1" si="38"/>
        <v>3102</v>
      </c>
      <c r="AB39" s="12">
        <f t="shared" ca="1" si="38"/>
        <v>5788</v>
      </c>
      <c r="AC39" s="12">
        <f t="shared" ca="1" si="38"/>
        <v>4751</v>
      </c>
      <c r="AD39" s="12">
        <f t="shared" ca="1" si="38"/>
        <v>5293</v>
      </c>
      <c r="AE39" s="12">
        <f t="shared" ca="1" si="38"/>
        <v>9910</v>
      </c>
      <c r="AF39" s="12">
        <f t="shared" ref="AC39:AT44" ca="1" si="39">INDEX(pm_d_1_Val,MATCH($C39,pm_d_2_Row,0),MATCH(AF$10,pm_d_3_Col,0))</f>
        <v>1774</v>
      </c>
      <c r="AG39" s="12">
        <f t="shared" ca="1" si="39"/>
        <v>2741</v>
      </c>
      <c r="AH39" s="12">
        <f t="shared" ca="1" si="39"/>
        <v>4872</v>
      </c>
      <c r="AI39" s="12">
        <f t="shared" ca="1" si="39"/>
        <v>6414</v>
      </c>
      <c r="AJ39" s="12">
        <f t="shared" ca="1" si="39"/>
        <v>6488</v>
      </c>
      <c r="AK39" s="12">
        <f t="shared" ca="1" si="39"/>
        <v>6117</v>
      </c>
      <c r="AL39" s="12">
        <f t="shared" ca="1" si="39"/>
        <v>10978</v>
      </c>
      <c r="AM39" s="12">
        <f t="shared" ca="1" si="39"/>
        <v>2149</v>
      </c>
      <c r="AN39" s="12">
        <f t="shared" ca="1" si="39"/>
        <v>3162</v>
      </c>
      <c r="AO39" s="12">
        <f t="shared" ca="1" si="39"/>
        <v>5259</v>
      </c>
      <c r="AP39" s="12">
        <f t="shared" ca="1" si="39"/>
        <v>7608</v>
      </c>
      <c r="AQ39" s="12">
        <f t="shared" ca="1" si="39"/>
        <v>6134</v>
      </c>
      <c r="AR39" s="12">
        <f t="shared" ca="1" si="39"/>
        <v>7896</v>
      </c>
      <c r="AS39" s="12">
        <f t="shared" ca="1" si="39"/>
        <v>10525</v>
      </c>
      <c r="AT39" s="12">
        <f t="shared" ca="1" si="39"/>
        <v>3087</v>
      </c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</row>
    <row r="40" spans="3:73" x14ac:dyDescent="0.25">
      <c r="C40" s="11" t="str">
        <f t="shared" ref="C40:C44" si="40">C12</f>
        <v>Frimley Health and Care ICS</v>
      </c>
      <c r="D40" s="11" t="s">
        <v>122</v>
      </c>
      <c r="E40" s="12">
        <f t="shared" ca="1" si="37"/>
        <v>0</v>
      </c>
      <c r="F40" s="12">
        <f t="shared" ca="1" si="37"/>
        <v>5</v>
      </c>
      <c r="G40" s="12">
        <f t="shared" ca="1" si="37"/>
        <v>1</v>
      </c>
      <c r="H40" s="12">
        <f t="shared" ca="1" si="37"/>
        <v>22</v>
      </c>
      <c r="I40" s="12">
        <f t="shared" ca="1" si="37"/>
        <v>54</v>
      </c>
      <c r="J40" s="12">
        <f t="shared" ca="1" si="37"/>
        <v>58</v>
      </c>
      <c r="K40" s="12">
        <f t="shared" ca="1" si="37"/>
        <v>0</v>
      </c>
      <c r="L40" s="12">
        <f t="shared" ca="1" si="37"/>
        <v>99</v>
      </c>
      <c r="M40" s="12">
        <f t="shared" ca="1" si="37"/>
        <v>278</v>
      </c>
      <c r="N40" s="12">
        <f t="shared" ca="1" si="37"/>
        <v>1586</v>
      </c>
      <c r="O40" s="12">
        <f t="shared" ca="1" si="37"/>
        <v>1241</v>
      </c>
      <c r="P40" s="12">
        <f t="shared" ca="1" si="38"/>
        <v>1119</v>
      </c>
      <c r="Q40" s="12">
        <f t="shared" ca="1" si="38"/>
        <v>2247</v>
      </c>
      <c r="R40" s="12">
        <f t="shared" ca="1" si="38"/>
        <v>643</v>
      </c>
      <c r="S40" s="12">
        <f t="shared" ca="1" si="38"/>
        <v>708</v>
      </c>
      <c r="T40" s="12">
        <f t="shared" ca="1" si="38"/>
        <v>2342</v>
      </c>
      <c r="U40" s="12">
        <f t="shared" ca="1" si="38"/>
        <v>2864</v>
      </c>
      <c r="V40" s="12">
        <f t="shared" ca="1" si="38"/>
        <v>2614</v>
      </c>
      <c r="W40" s="12">
        <f t="shared" ca="1" si="38"/>
        <v>2804</v>
      </c>
      <c r="X40" s="12">
        <f t="shared" ca="1" si="38"/>
        <v>2687</v>
      </c>
      <c r="Y40" s="12">
        <f t="shared" ca="1" si="38"/>
        <v>1308</v>
      </c>
      <c r="Z40" s="12">
        <f t="shared" ca="1" si="38"/>
        <v>1687</v>
      </c>
      <c r="AA40" s="12">
        <f t="shared" ca="1" si="38"/>
        <v>3260</v>
      </c>
      <c r="AB40" s="12">
        <f t="shared" ca="1" si="38"/>
        <v>3300</v>
      </c>
      <c r="AC40" s="12">
        <f t="shared" ca="1" si="39"/>
        <v>2853</v>
      </c>
      <c r="AD40" s="12">
        <f t="shared" ca="1" si="39"/>
        <v>2879</v>
      </c>
      <c r="AE40" s="12">
        <f t="shared" ca="1" si="39"/>
        <v>4119</v>
      </c>
      <c r="AF40" s="12">
        <f t="shared" ca="1" si="39"/>
        <v>1042</v>
      </c>
      <c r="AG40" s="12">
        <f t="shared" ca="1" si="39"/>
        <v>2154</v>
      </c>
      <c r="AH40" s="12">
        <f t="shared" ca="1" si="39"/>
        <v>3642</v>
      </c>
      <c r="AI40" s="12">
        <f t="shared" ca="1" si="39"/>
        <v>2822</v>
      </c>
      <c r="AJ40" s="12">
        <f t="shared" ca="1" si="39"/>
        <v>3616</v>
      </c>
      <c r="AK40" s="12">
        <f t="shared" ca="1" si="39"/>
        <v>2037</v>
      </c>
      <c r="AL40" s="12">
        <f t="shared" ca="1" si="39"/>
        <v>2810</v>
      </c>
      <c r="AM40" s="12">
        <f t="shared" ca="1" si="39"/>
        <v>1459</v>
      </c>
      <c r="AN40" s="12">
        <f t="shared" ca="1" si="39"/>
        <v>2284</v>
      </c>
      <c r="AO40" s="12">
        <f t="shared" ca="1" si="39"/>
        <v>3833</v>
      </c>
      <c r="AP40" s="12">
        <f t="shared" ca="1" si="39"/>
        <v>3208</v>
      </c>
      <c r="AQ40" s="12">
        <f t="shared" ca="1" si="39"/>
        <v>3119</v>
      </c>
      <c r="AR40" s="12">
        <f t="shared" ca="1" si="39"/>
        <v>2299</v>
      </c>
      <c r="AS40" s="12">
        <f t="shared" ca="1" si="39"/>
        <v>4835</v>
      </c>
      <c r="AT40" s="12">
        <f t="shared" ca="1" si="39"/>
        <v>1342</v>
      </c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</row>
    <row r="41" spans="3:73" x14ac:dyDescent="0.25">
      <c r="C41" s="11" t="str">
        <f t="shared" si="40"/>
        <v>Hampshire and the Isle of Wight</v>
      </c>
      <c r="D41" s="11" t="s">
        <v>122</v>
      </c>
      <c r="E41" s="12">
        <f t="shared" ca="1" si="37"/>
        <v>8</v>
      </c>
      <c r="F41" s="12">
        <f t="shared" ca="1" si="37"/>
        <v>7</v>
      </c>
      <c r="G41" s="12">
        <f t="shared" ca="1" si="37"/>
        <v>4</v>
      </c>
      <c r="H41" s="12">
        <f t="shared" ca="1" si="37"/>
        <v>6</v>
      </c>
      <c r="I41" s="12">
        <f t="shared" ca="1" si="37"/>
        <v>145</v>
      </c>
      <c r="J41" s="12">
        <f t="shared" ca="1" si="37"/>
        <v>58</v>
      </c>
      <c r="K41" s="12">
        <f t="shared" ca="1" si="37"/>
        <v>84</v>
      </c>
      <c r="L41" s="12">
        <f t="shared" ca="1" si="37"/>
        <v>247</v>
      </c>
      <c r="M41" s="12">
        <f t="shared" ca="1" si="37"/>
        <v>363</v>
      </c>
      <c r="N41" s="12">
        <f t="shared" ca="1" si="37"/>
        <v>864</v>
      </c>
      <c r="O41" s="12">
        <f t="shared" ca="1" si="37"/>
        <v>1056</v>
      </c>
      <c r="P41" s="12">
        <f t="shared" ca="1" si="38"/>
        <v>2148</v>
      </c>
      <c r="Q41" s="12">
        <f t="shared" ca="1" si="38"/>
        <v>1828</v>
      </c>
      <c r="R41" s="12">
        <f t="shared" ca="1" si="38"/>
        <v>1935</v>
      </c>
      <c r="S41" s="12">
        <f t="shared" ca="1" si="38"/>
        <v>3773</v>
      </c>
      <c r="T41" s="12">
        <f t="shared" ca="1" si="38"/>
        <v>4173</v>
      </c>
      <c r="U41" s="12">
        <f t="shared" ca="1" si="38"/>
        <v>3669</v>
      </c>
      <c r="V41" s="12">
        <f t="shared" ca="1" si="38"/>
        <v>5145</v>
      </c>
      <c r="W41" s="12">
        <f t="shared" ca="1" si="38"/>
        <v>4557</v>
      </c>
      <c r="X41" s="12">
        <f t="shared" ca="1" si="38"/>
        <v>9554</v>
      </c>
      <c r="Y41" s="12">
        <f t="shared" ca="1" si="38"/>
        <v>5053</v>
      </c>
      <c r="Z41" s="12">
        <f t="shared" ca="1" si="38"/>
        <v>4735</v>
      </c>
      <c r="AA41" s="12">
        <f t="shared" ca="1" si="38"/>
        <v>5104</v>
      </c>
      <c r="AB41" s="12">
        <f t="shared" ca="1" si="38"/>
        <v>6610</v>
      </c>
      <c r="AC41" s="12">
        <f t="shared" ca="1" si="39"/>
        <v>7360</v>
      </c>
      <c r="AD41" s="12">
        <f t="shared" ca="1" si="39"/>
        <v>5024</v>
      </c>
      <c r="AE41" s="12">
        <f t="shared" ca="1" si="39"/>
        <v>5802</v>
      </c>
      <c r="AF41" s="12">
        <f t="shared" ca="1" si="39"/>
        <v>3139</v>
      </c>
      <c r="AG41" s="12">
        <f t="shared" ca="1" si="39"/>
        <v>3379</v>
      </c>
      <c r="AH41" s="12">
        <f t="shared" ca="1" si="39"/>
        <v>5769</v>
      </c>
      <c r="AI41" s="12">
        <f t="shared" ca="1" si="39"/>
        <v>6917</v>
      </c>
      <c r="AJ41" s="12">
        <f t="shared" ca="1" si="39"/>
        <v>7477</v>
      </c>
      <c r="AK41" s="12">
        <f t="shared" ca="1" si="39"/>
        <v>6206</v>
      </c>
      <c r="AL41" s="12">
        <f t="shared" ca="1" si="39"/>
        <v>8847</v>
      </c>
      <c r="AM41" s="12">
        <f t="shared" ca="1" si="39"/>
        <v>3719</v>
      </c>
      <c r="AN41" s="12">
        <f t="shared" ca="1" si="39"/>
        <v>5031</v>
      </c>
      <c r="AO41" s="12">
        <f t="shared" ca="1" si="39"/>
        <v>5161</v>
      </c>
      <c r="AP41" s="12">
        <f t="shared" ca="1" si="39"/>
        <v>7222</v>
      </c>
      <c r="AQ41" s="12">
        <f t="shared" ca="1" si="39"/>
        <v>8207</v>
      </c>
      <c r="AR41" s="12">
        <f t="shared" ca="1" si="39"/>
        <v>9425</v>
      </c>
      <c r="AS41" s="12">
        <f t="shared" ca="1" si="39"/>
        <v>9821</v>
      </c>
      <c r="AT41" s="12">
        <f t="shared" ca="1" si="39"/>
        <v>4806</v>
      </c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</row>
    <row r="42" spans="3:73" x14ac:dyDescent="0.25">
      <c r="C42" s="11" t="str">
        <f t="shared" si="40"/>
        <v>Kent and Medway</v>
      </c>
      <c r="D42" s="11" t="s">
        <v>122</v>
      </c>
      <c r="E42" s="12">
        <f t="shared" ca="1" si="37"/>
        <v>4</v>
      </c>
      <c r="F42" s="12">
        <f t="shared" ca="1" si="37"/>
        <v>9</v>
      </c>
      <c r="G42" s="12">
        <f t="shared" ca="1" si="37"/>
        <v>44</v>
      </c>
      <c r="H42" s="12">
        <f t="shared" ca="1" si="37"/>
        <v>231</v>
      </c>
      <c r="I42" s="12">
        <f t="shared" ca="1" si="37"/>
        <v>166</v>
      </c>
      <c r="J42" s="12">
        <f t="shared" ca="1" si="37"/>
        <v>612</v>
      </c>
      <c r="K42" s="12">
        <f t="shared" ca="1" si="37"/>
        <v>101</v>
      </c>
      <c r="L42" s="12">
        <f t="shared" ca="1" si="37"/>
        <v>78</v>
      </c>
      <c r="M42" s="12">
        <f t="shared" ca="1" si="37"/>
        <v>354</v>
      </c>
      <c r="N42" s="12">
        <f t="shared" ca="1" si="37"/>
        <v>847</v>
      </c>
      <c r="O42" s="12">
        <f t="shared" ca="1" si="37"/>
        <v>2729</v>
      </c>
      <c r="P42" s="12">
        <f t="shared" ca="1" si="38"/>
        <v>4098</v>
      </c>
      <c r="Q42" s="12">
        <f t="shared" ca="1" si="38"/>
        <v>4544</v>
      </c>
      <c r="R42" s="12">
        <f t="shared" ca="1" si="38"/>
        <v>2712</v>
      </c>
      <c r="S42" s="12">
        <f t="shared" ca="1" si="38"/>
        <v>1294</v>
      </c>
      <c r="T42" s="12">
        <f t="shared" ca="1" si="38"/>
        <v>4154</v>
      </c>
      <c r="U42" s="12">
        <f t="shared" ca="1" si="38"/>
        <v>1622</v>
      </c>
      <c r="V42" s="12">
        <f t="shared" ca="1" si="38"/>
        <v>4200</v>
      </c>
      <c r="W42" s="12">
        <f t="shared" ca="1" si="38"/>
        <v>3785</v>
      </c>
      <c r="X42" s="12">
        <f t="shared" ca="1" si="38"/>
        <v>9255</v>
      </c>
      <c r="Y42" s="12">
        <f t="shared" ca="1" si="38"/>
        <v>3740</v>
      </c>
      <c r="Z42" s="12">
        <f t="shared" ca="1" si="38"/>
        <v>2766</v>
      </c>
      <c r="AA42" s="12">
        <f t="shared" ca="1" si="38"/>
        <v>6170</v>
      </c>
      <c r="AB42" s="12">
        <f t="shared" ca="1" si="38"/>
        <v>3047</v>
      </c>
      <c r="AC42" s="12">
        <f t="shared" ca="1" si="39"/>
        <v>5501</v>
      </c>
      <c r="AD42" s="12">
        <f t="shared" ca="1" si="39"/>
        <v>4536</v>
      </c>
      <c r="AE42" s="12">
        <f t="shared" ca="1" si="39"/>
        <v>9435</v>
      </c>
      <c r="AF42" s="12">
        <f t="shared" ca="1" si="39"/>
        <v>3547</v>
      </c>
      <c r="AG42" s="12">
        <f t="shared" ca="1" si="39"/>
        <v>2304</v>
      </c>
      <c r="AH42" s="12">
        <f t="shared" ca="1" si="39"/>
        <v>5310</v>
      </c>
      <c r="AI42" s="12">
        <f t="shared" ca="1" si="39"/>
        <v>3486</v>
      </c>
      <c r="AJ42" s="12">
        <f t="shared" ca="1" si="39"/>
        <v>5983</v>
      </c>
      <c r="AK42" s="12">
        <f t="shared" ca="1" si="39"/>
        <v>4411</v>
      </c>
      <c r="AL42" s="12">
        <f t="shared" ca="1" si="39"/>
        <v>12426</v>
      </c>
      <c r="AM42" s="12">
        <f t="shared" ca="1" si="39"/>
        <v>4279</v>
      </c>
      <c r="AN42" s="12">
        <f t="shared" ca="1" si="39"/>
        <v>2758</v>
      </c>
      <c r="AO42" s="12">
        <f t="shared" ca="1" si="39"/>
        <v>6843</v>
      </c>
      <c r="AP42" s="12">
        <f t="shared" ca="1" si="39"/>
        <v>4690</v>
      </c>
      <c r="AQ42" s="12">
        <f t="shared" ca="1" si="39"/>
        <v>7864</v>
      </c>
      <c r="AR42" s="12">
        <f t="shared" ca="1" si="39"/>
        <v>5723</v>
      </c>
      <c r="AS42" s="12">
        <f t="shared" ca="1" si="39"/>
        <v>11666</v>
      </c>
      <c r="AT42" s="12">
        <f t="shared" ca="1" si="39"/>
        <v>4819</v>
      </c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</row>
    <row r="43" spans="3:73" x14ac:dyDescent="0.25">
      <c r="C43" s="11" t="str">
        <f t="shared" si="40"/>
        <v>Surrey Heartlands Health and Care Partnership</v>
      </c>
      <c r="D43" s="11" t="s">
        <v>122</v>
      </c>
      <c r="E43" s="12">
        <f t="shared" ca="1" si="37"/>
        <v>0</v>
      </c>
      <c r="F43" s="12">
        <f t="shared" ca="1" si="37"/>
        <v>2</v>
      </c>
      <c r="G43" s="12">
        <f t="shared" ca="1" si="37"/>
        <v>105</v>
      </c>
      <c r="H43" s="12">
        <f t="shared" ca="1" si="37"/>
        <v>3</v>
      </c>
      <c r="I43" s="12">
        <f t="shared" ca="1" si="37"/>
        <v>5</v>
      </c>
      <c r="J43" s="12">
        <f t="shared" ca="1" si="37"/>
        <v>4</v>
      </c>
      <c r="K43" s="12">
        <f t="shared" ca="1" si="37"/>
        <v>8</v>
      </c>
      <c r="L43" s="12">
        <f t="shared" ca="1" si="37"/>
        <v>133</v>
      </c>
      <c r="M43" s="12">
        <f t="shared" ca="1" si="37"/>
        <v>330</v>
      </c>
      <c r="N43" s="12">
        <f t="shared" ca="1" si="37"/>
        <v>410</v>
      </c>
      <c r="O43" s="12">
        <f t="shared" ca="1" si="37"/>
        <v>696</v>
      </c>
      <c r="P43" s="12">
        <f t="shared" ca="1" si="38"/>
        <v>947</v>
      </c>
      <c r="Q43" s="12">
        <f t="shared" ca="1" si="38"/>
        <v>1773</v>
      </c>
      <c r="R43" s="12">
        <f t="shared" ca="1" si="38"/>
        <v>520</v>
      </c>
      <c r="S43" s="12">
        <f t="shared" ca="1" si="38"/>
        <v>1022</v>
      </c>
      <c r="T43" s="12">
        <f t="shared" ca="1" si="38"/>
        <v>1485</v>
      </c>
      <c r="U43" s="12">
        <f t="shared" ca="1" si="38"/>
        <v>1860</v>
      </c>
      <c r="V43" s="12">
        <f t="shared" ca="1" si="38"/>
        <v>2773</v>
      </c>
      <c r="W43" s="12">
        <f t="shared" ca="1" si="38"/>
        <v>3584</v>
      </c>
      <c r="X43" s="12">
        <f t="shared" ca="1" si="38"/>
        <v>3722</v>
      </c>
      <c r="Y43" s="12">
        <f t="shared" ca="1" si="38"/>
        <v>1635</v>
      </c>
      <c r="Z43" s="12">
        <f t="shared" ca="1" si="38"/>
        <v>2214</v>
      </c>
      <c r="AA43" s="12">
        <f t="shared" ca="1" si="38"/>
        <v>3023</v>
      </c>
      <c r="AB43" s="12">
        <f t="shared" ca="1" si="38"/>
        <v>3485</v>
      </c>
      <c r="AC43" s="12">
        <f t="shared" ca="1" si="39"/>
        <v>3207</v>
      </c>
      <c r="AD43" s="12">
        <f t="shared" ca="1" si="39"/>
        <v>3852</v>
      </c>
      <c r="AE43" s="12">
        <f t="shared" ca="1" si="39"/>
        <v>3599</v>
      </c>
      <c r="AF43" s="12">
        <f t="shared" ca="1" si="39"/>
        <v>2519</v>
      </c>
      <c r="AG43" s="12">
        <f t="shared" ca="1" si="39"/>
        <v>2202</v>
      </c>
      <c r="AH43" s="12">
        <f t="shared" ca="1" si="39"/>
        <v>3425</v>
      </c>
      <c r="AI43" s="12">
        <f t="shared" ca="1" si="39"/>
        <v>3848</v>
      </c>
      <c r="AJ43" s="12">
        <f t="shared" ca="1" si="39"/>
        <v>3702</v>
      </c>
      <c r="AK43" s="12">
        <f t="shared" ca="1" si="39"/>
        <v>3654</v>
      </c>
      <c r="AL43" s="12">
        <f t="shared" ca="1" si="39"/>
        <v>4826</v>
      </c>
      <c r="AM43" s="12">
        <f t="shared" ca="1" si="39"/>
        <v>2791</v>
      </c>
      <c r="AN43" s="12">
        <f t="shared" ca="1" si="39"/>
        <v>2910</v>
      </c>
      <c r="AO43" s="12">
        <f t="shared" ca="1" si="39"/>
        <v>4520</v>
      </c>
      <c r="AP43" s="12">
        <f t="shared" ca="1" si="39"/>
        <v>3972</v>
      </c>
      <c r="AQ43" s="12">
        <f t="shared" ca="1" si="39"/>
        <v>4970</v>
      </c>
      <c r="AR43" s="12">
        <f t="shared" ca="1" si="39"/>
        <v>4543</v>
      </c>
      <c r="AS43" s="12">
        <f t="shared" ca="1" si="39"/>
        <v>5808</v>
      </c>
      <c r="AT43" s="12">
        <f t="shared" ca="1" si="39"/>
        <v>2516</v>
      </c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</row>
    <row r="44" spans="3:73" x14ac:dyDescent="0.25">
      <c r="C44" s="11" t="str">
        <f t="shared" si="40"/>
        <v>Sussex Health and Care Partnership</v>
      </c>
      <c r="D44" s="11" t="s">
        <v>122</v>
      </c>
      <c r="E44" s="12">
        <f t="shared" ca="1" si="37"/>
        <v>0</v>
      </c>
      <c r="F44" s="12">
        <f t="shared" ca="1" si="37"/>
        <v>17</v>
      </c>
      <c r="G44" s="12">
        <f t="shared" ca="1" si="37"/>
        <v>11</v>
      </c>
      <c r="H44" s="12">
        <f t="shared" ca="1" si="37"/>
        <v>83</v>
      </c>
      <c r="I44" s="12">
        <f t="shared" ca="1" si="37"/>
        <v>11</v>
      </c>
      <c r="J44" s="12">
        <f t="shared" ca="1" si="37"/>
        <v>26</v>
      </c>
      <c r="K44" s="12">
        <f t="shared" ca="1" si="37"/>
        <v>4</v>
      </c>
      <c r="L44" s="12">
        <f t="shared" ca="1" si="37"/>
        <v>18</v>
      </c>
      <c r="M44" s="12">
        <f t="shared" ca="1" si="37"/>
        <v>493</v>
      </c>
      <c r="N44" s="12">
        <f t="shared" ca="1" si="37"/>
        <v>538</v>
      </c>
      <c r="O44" s="12">
        <f t="shared" ca="1" si="37"/>
        <v>595</v>
      </c>
      <c r="P44" s="12">
        <f t="shared" ca="1" si="38"/>
        <v>1897</v>
      </c>
      <c r="Q44" s="12">
        <f t="shared" ca="1" si="38"/>
        <v>2549</v>
      </c>
      <c r="R44" s="12">
        <f t="shared" ca="1" si="38"/>
        <v>1046</v>
      </c>
      <c r="S44" s="12">
        <f t="shared" ca="1" si="38"/>
        <v>2509</v>
      </c>
      <c r="T44" s="12">
        <f t="shared" ca="1" si="38"/>
        <v>3038</v>
      </c>
      <c r="U44" s="12">
        <f t="shared" ca="1" si="38"/>
        <v>4592</v>
      </c>
      <c r="V44" s="12">
        <f t="shared" ca="1" si="38"/>
        <v>5714</v>
      </c>
      <c r="W44" s="12">
        <f t="shared" ca="1" si="38"/>
        <v>6227</v>
      </c>
      <c r="X44" s="12">
        <f t="shared" ca="1" si="38"/>
        <v>7537</v>
      </c>
      <c r="Y44" s="12">
        <f t="shared" ca="1" si="38"/>
        <v>2667</v>
      </c>
      <c r="Z44" s="12">
        <f t="shared" ca="1" si="38"/>
        <v>4198</v>
      </c>
      <c r="AA44" s="12">
        <f t="shared" ca="1" si="38"/>
        <v>4811</v>
      </c>
      <c r="AB44" s="12">
        <f t="shared" ca="1" si="38"/>
        <v>4663</v>
      </c>
      <c r="AC44" s="12">
        <f t="shared" ca="1" si="39"/>
        <v>5263</v>
      </c>
      <c r="AD44" s="12">
        <f t="shared" ca="1" si="39"/>
        <v>5719</v>
      </c>
      <c r="AE44" s="12">
        <f t="shared" ca="1" si="39"/>
        <v>8687</v>
      </c>
      <c r="AF44" s="12">
        <f t="shared" ca="1" si="39"/>
        <v>4541</v>
      </c>
      <c r="AG44" s="12">
        <f t="shared" ca="1" si="39"/>
        <v>4421</v>
      </c>
      <c r="AH44" s="12">
        <f t="shared" ca="1" si="39"/>
        <v>5225</v>
      </c>
      <c r="AI44" s="12">
        <f t="shared" ca="1" si="39"/>
        <v>6246</v>
      </c>
      <c r="AJ44" s="12">
        <f t="shared" ca="1" si="39"/>
        <v>7153</v>
      </c>
      <c r="AK44" s="12">
        <f t="shared" ca="1" si="39"/>
        <v>6505</v>
      </c>
      <c r="AL44" s="12">
        <f t="shared" ca="1" si="39"/>
        <v>10030</v>
      </c>
      <c r="AM44" s="12">
        <f t="shared" ca="1" si="39"/>
        <v>4662</v>
      </c>
      <c r="AN44" s="12">
        <f t="shared" ca="1" si="39"/>
        <v>5810</v>
      </c>
      <c r="AO44" s="12">
        <f t="shared" ca="1" si="39"/>
        <v>7334</v>
      </c>
      <c r="AP44" s="12">
        <f t="shared" ca="1" si="39"/>
        <v>7499</v>
      </c>
      <c r="AQ44" s="12">
        <f t="shared" ca="1" si="39"/>
        <v>9130</v>
      </c>
      <c r="AR44" s="12">
        <f t="shared" ca="1" si="39"/>
        <v>8565</v>
      </c>
      <c r="AS44" s="12">
        <f t="shared" ca="1" si="39"/>
        <v>11723</v>
      </c>
      <c r="AT44" s="12">
        <f t="shared" ca="1" si="39"/>
        <v>4742</v>
      </c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</row>
    <row r="45" spans="3:73" x14ac:dyDescent="0.25">
      <c r="C45" s="11" t="s">
        <v>17</v>
      </c>
      <c r="D45" s="11" t="s">
        <v>122</v>
      </c>
      <c r="E45" s="12">
        <f t="shared" ref="E45:AB45" ca="1" si="41">SUM(E39:E44)</f>
        <v>13</v>
      </c>
      <c r="F45" s="12">
        <f t="shared" ca="1" si="41"/>
        <v>48</v>
      </c>
      <c r="G45" s="12">
        <f t="shared" ca="1" si="41"/>
        <v>349</v>
      </c>
      <c r="H45" s="12">
        <f t="shared" ca="1" si="41"/>
        <v>599</v>
      </c>
      <c r="I45" s="12">
        <f t="shared" ca="1" si="41"/>
        <v>609</v>
      </c>
      <c r="J45" s="12">
        <f t="shared" ca="1" si="41"/>
        <v>1302</v>
      </c>
      <c r="K45" s="12">
        <f t="shared" ca="1" si="41"/>
        <v>198</v>
      </c>
      <c r="L45" s="12">
        <f t="shared" ca="1" si="41"/>
        <v>586</v>
      </c>
      <c r="M45" s="12">
        <f t="shared" ca="1" si="41"/>
        <v>1939</v>
      </c>
      <c r="N45" s="12">
        <f t="shared" ca="1" si="41"/>
        <v>6058</v>
      </c>
      <c r="O45" s="12">
        <f t="shared" ca="1" si="41"/>
        <v>8609</v>
      </c>
      <c r="P45" s="12">
        <f t="shared" ca="1" si="41"/>
        <v>12521</v>
      </c>
      <c r="Q45" s="12">
        <f t="shared" ca="1" si="41"/>
        <v>16068</v>
      </c>
      <c r="R45" s="12">
        <f t="shared" ca="1" si="41"/>
        <v>8186</v>
      </c>
      <c r="S45" s="12">
        <f t="shared" ca="1" si="41"/>
        <v>11136</v>
      </c>
      <c r="T45" s="12">
        <f t="shared" ca="1" si="41"/>
        <v>16687</v>
      </c>
      <c r="U45" s="12">
        <f t="shared" ca="1" si="41"/>
        <v>17168</v>
      </c>
      <c r="V45" s="12">
        <f t="shared" ca="1" si="41"/>
        <v>23423</v>
      </c>
      <c r="W45" s="12">
        <f t="shared" ca="1" si="41"/>
        <v>26674</v>
      </c>
      <c r="X45" s="12">
        <f t="shared" ca="1" si="41"/>
        <v>39418</v>
      </c>
      <c r="Y45" s="12">
        <f t="shared" ca="1" si="41"/>
        <v>15694</v>
      </c>
      <c r="Z45" s="12">
        <f t="shared" ca="1" si="41"/>
        <v>18074</v>
      </c>
      <c r="AA45" s="12">
        <f t="shared" ca="1" si="41"/>
        <v>25470</v>
      </c>
      <c r="AB45" s="12">
        <f t="shared" ca="1" si="41"/>
        <v>26893</v>
      </c>
      <c r="AC45" s="12">
        <f t="shared" ref="AC45:AJ45" ca="1" si="42">SUM(AC39:AC44)</f>
        <v>28935</v>
      </c>
      <c r="AD45" s="12">
        <f t="shared" ca="1" si="42"/>
        <v>27303</v>
      </c>
      <c r="AE45" s="12">
        <f t="shared" ca="1" si="42"/>
        <v>41552</v>
      </c>
      <c r="AF45" s="12">
        <f t="shared" ca="1" si="42"/>
        <v>16562</v>
      </c>
      <c r="AG45" s="12">
        <f t="shared" ca="1" si="42"/>
        <v>17201</v>
      </c>
      <c r="AH45" s="12">
        <f t="shared" ca="1" si="42"/>
        <v>28243</v>
      </c>
      <c r="AI45" s="12">
        <f t="shared" ca="1" si="42"/>
        <v>29733</v>
      </c>
      <c r="AJ45" s="12">
        <f t="shared" ca="1" si="42"/>
        <v>34419</v>
      </c>
      <c r="AK45" s="12">
        <f t="shared" ref="AK45:AM45" ca="1" si="43">SUM(AK39:AK44)</f>
        <v>28930</v>
      </c>
      <c r="AL45" s="12">
        <f t="shared" ca="1" si="43"/>
        <v>49917</v>
      </c>
      <c r="AM45" s="12">
        <f t="shared" ca="1" si="43"/>
        <v>19059</v>
      </c>
      <c r="AN45" s="12">
        <f t="shared" ref="AN45" ca="1" si="44">SUM(AN39:AN44)</f>
        <v>21955</v>
      </c>
      <c r="AO45" s="12">
        <f t="shared" ref="AO45:AT45" ca="1" si="45">SUM(AO39:AO44)</f>
        <v>32950</v>
      </c>
      <c r="AP45" s="12">
        <f t="shared" ref="AP45:AT45" ca="1" si="46">SUM(AP39:AP44)</f>
        <v>34199</v>
      </c>
      <c r="AQ45" s="12">
        <f t="shared" ca="1" si="46"/>
        <v>39424</v>
      </c>
      <c r="AR45" s="12">
        <f t="shared" ca="1" si="46"/>
        <v>38451</v>
      </c>
      <c r="AS45" s="12">
        <f t="shared" ca="1" si="46"/>
        <v>54378</v>
      </c>
      <c r="AT45" s="12">
        <f t="shared" ca="1" si="46"/>
        <v>21312</v>
      </c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</row>
    <row r="50" spans="3:17" ht="21" x14ac:dyDescent="0.35">
      <c r="C50" s="82" t="s">
        <v>99</v>
      </c>
    </row>
    <row r="51" spans="3:17" x14ac:dyDescent="0.25">
      <c r="C51" t="s">
        <v>95</v>
      </c>
      <c r="D51">
        <v>7</v>
      </c>
    </row>
    <row r="52" spans="3:17" x14ac:dyDescent="0.25">
      <c r="C52" t="s">
        <v>96</v>
      </c>
      <c r="D52" s="1">
        <f>C1-D51+1</f>
        <v>44487</v>
      </c>
      <c r="M52" s="1"/>
      <c r="N52" s="1"/>
      <c r="O52" s="1"/>
      <c r="P52" s="1"/>
      <c r="Q52" s="1"/>
    </row>
    <row r="53" spans="3:17" x14ac:dyDescent="0.25">
      <c r="N53" t="s">
        <v>98</v>
      </c>
    </row>
    <row r="54" spans="3:17" x14ac:dyDescent="0.25">
      <c r="C54" s="10" t="s">
        <v>0</v>
      </c>
      <c r="D54" s="10" t="s">
        <v>16</v>
      </c>
      <c r="E54" s="81" t="s">
        <v>97</v>
      </c>
      <c r="F54" s="108">
        <f>D52</f>
        <v>44487</v>
      </c>
      <c r="G54" s="108">
        <f t="shared" ref="G54:K54" si="47">F54+1</f>
        <v>44488</v>
      </c>
      <c r="H54" s="108">
        <f t="shared" si="47"/>
        <v>44489</v>
      </c>
      <c r="I54" s="108">
        <f t="shared" si="47"/>
        <v>44490</v>
      </c>
      <c r="J54" s="108">
        <f t="shared" si="47"/>
        <v>44491</v>
      </c>
      <c r="K54" s="108">
        <f t="shared" si="47"/>
        <v>44492</v>
      </c>
      <c r="L54" s="108">
        <f>K54+1</f>
        <v>44493</v>
      </c>
      <c r="N54" s="1">
        <f>L54</f>
        <v>44493</v>
      </c>
      <c r="P54" s="9" t="s">
        <v>114</v>
      </c>
    </row>
    <row r="55" spans="3:17" x14ac:dyDescent="0.25">
      <c r="C55" s="11" t="str">
        <f>C39</f>
        <v>Buckinghamshire, Oxfordshire and Berkshire West</v>
      </c>
      <c r="D55" s="11" t="s">
        <v>122</v>
      </c>
      <c r="E55" s="81">
        <f ca="1">AVERAGE(F55:L55)</f>
        <v>6238.7142857142853</v>
      </c>
      <c r="F55">
        <f ca="1">INDEX(39:39,1,MATCH(F$54,$38:$38,0))</f>
        <v>3162</v>
      </c>
      <c r="G55">
        <f ca="1">INDEX(39:39,1,MATCH(G$54,$38:$38,0))</f>
        <v>5259</v>
      </c>
      <c r="H55">
        <f ca="1">INDEX(39:39,1,MATCH(H$54,$38:$38,0))</f>
        <v>7608</v>
      </c>
      <c r="I55">
        <f ca="1">INDEX(39:39,1,MATCH(I$54,$38:$38,0))</f>
        <v>6134</v>
      </c>
      <c r="J55">
        <f ca="1">INDEX(39:39,1,MATCH(J$54,$38:$38,0))</f>
        <v>7896</v>
      </c>
      <c r="K55">
        <f ca="1">INDEX(39:39,1,MATCH(K$54,$38:$38,0))</f>
        <v>10525</v>
      </c>
      <c r="L55">
        <f ca="1">INDEX(39:39,1,MATCH(L$54,$38:$38,0))</f>
        <v>3087</v>
      </c>
      <c r="N55">
        <f ca="1">INDEX(11:11,1,MATCH(N$54,$10:$10,0))</f>
        <v>151282</v>
      </c>
      <c r="P55" s="145">
        <f ca="1">AVERAGE(AA39:AD39)</f>
        <v>4733.5</v>
      </c>
    </row>
    <row r="56" spans="3:17" x14ac:dyDescent="0.25">
      <c r="C56" s="11" t="str">
        <f t="shared" ref="C56:C61" si="48">C40</f>
        <v>Frimley Health and Care ICS</v>
      </c>
      <c r="D56" s="11" t="s">
        <v>122</v>
      </c>
      <c r="E56" s="81">
        <f t="shared" ref="E56:E60" ca="1" si="49">AVERAGE(F56:L56)</f>
        <v>2988.5714285714284</v>
      </c>
      <c r="F56">
        <f ca="1">INDEX(40:40,1,MATCH(F$54,$38:$38,0))</f>
        <v>2284</v>
      </c>
      <c r="G56">
        <f ca="1">INDEX(40:40,1,MATCH(G$54,$38:$38,0))</f>
        <v>3833</v>
      </c>
      <c r="H56">
        <f ca="1">INDEX(40:40,1,MATCH(H$54,$38:$38,0))</f>
        <v>3208</v>
      </c>
      <c r="I56">
        <f ca="1">INDEX(40:40,1,MATCH(I$54,$38:$38,0))</f>
        <v>3119</v>
      </c>
      <c r="J56">
        <f ca="1">INDEX(40:40,1,MATCH(J$54,$38:$38,0))</f>
        <v>2299</v>
      </c>
      <c r="K56">
        <f ca="1">INDEX(40:40,1,MATCH(K$54,$38:$38,0))</f>
        <v>4835</v>
      </c>
      <c r="L56">
        <f ca="1">INDEX(40:40,1,MATCH(L$54,$38:$38,0))</f>
        <v>1342</v>
      </c>
      <c r="N56">
        <f ca="1">INDEX(12:12,1,MATCH(N$54,$10:$10,0))</f>
        <v>81280</v>
      </c>
      <c r="P56" s="145">
        <f t="shared" ref="P56:P61" ca="1" si="50">AVERAGE(AA40:AD40)</f>
        <v>3073</v>
      </c>
    </row>
    <row r="57" spans="3:17" x14ac:dyDescent="0.25">
      <c r="C57" s="11" t="str">
        <f t="shared" si="48"/>
        <v>Hampshire and the Isle of Wight</v>
      </c>
      <c r="D57" s="11" t="s">
        <v>122</v>
      </c>
      <c r="E57" s="81">
        <f t="shared" ca="1" si="49"/>
        <v>7096.1428571428569</v>
      </c>
      <c r="F57">
        <f ca="1">INDEX(41:41,1,MATCH(F$54,$38:$38,0))</f>
        <v>5031</v>
      </c>
      <c r="G57">
        <f ca="1">INDEX(41:41,1,MATCH(G$54,$38:$38,0))</f>
        <v>5161</v>
      </c>
      <c r="H57">
        <f ca="1">INDEX(41:41,1,MATCH(H$54,$38:$38,0))</f>
        <v>7222</v>
      </c>
      <c r="I57">
        <f ca="1">INDEX(41:41,1,MATCH(I$54,$38:$38,0))</f>
        <v>8207</v>
      </c>
      <c r="J57">
        <f ca="1">INDEX(41:41,1,MATCH(J$54,$38:$38,0))</f>
        <v>9425</v>
      </c>
      <c r="K57">
        <f ca="1">INDEX(41:41,1,MATCH(K$54,$38:$38,0))</f>
        <v>9821</v>
      </c>
      <c r="L57">
        <f ca="1">INDEX(41:41,1,MATCH(L$54,$38:$38,0))</f>
        <v>4806</v>
      </c>
      <c r="N57">
        <f ca="1">INDEX(13:13,1,MATCH(N$54,$10:$10,0))</f>
        <v>174438</v>
      </c>
      <c r="P57" s="145">
        <f t="shared" ca="1" si="50"/>
        <v>6024.5</v>
      </c>
    </row>
    <row r="58" spans="3:17" x14ac:dyDescent="0.25">
      <c r="C58" s="11" t="str">
        <f t="shared" si="48"/>
        <v>Kent and Medway</v>
      </c>
      <c r="D58" s="11" t="s">
        <v>122</v>
      </c>
      <c r="E58" s="81">
        <f t="shared" ca="1" si="49"/>
        <v>6337.5714285714284</v>
      </c>
      <c r="F58">
        <f ca="1">INDEX(42:42,1,MATCH(F$54,$38:$38,0))</f>
        <v>2758</v>
      </c>
      <c r="G58">
        <f ca="1">INDEX(42:42,1,MATCH(G$54,$38:$38,0))</f>
        <v>6843</v>
      </c>
      <c r="H58">
        <f ca="1">INDEX(42:42,1,MATCH(H$54,$38:$38,0))</f>
        <v>4690</v>
      </c>
      <c r="I58">
        <f ca="1">INDEX(42:42,1,MATCH(I$54,$38:$38,0))</f>
        <v>7864</v>
      </c>
      <c r="J58">
        <f ca="1">INDEX(42:42,1,MATCH(J$54,$38:$38,0))</f>
        <v>5723</v>
      </c>
      <c r="K58">
        <f ca="1">INDEX(42:42,1,MATCH(K$54,$38:$38,0))</f>
        <v>11666</v>
      </c>
      <c r="L58">
        <f ca="1">INDEX(42:42,1,MATCH(L$54,$38:$38,0))</f>
        <v>4819</v>
      </c>
      <c r="N58">
        <f ca="1">INDEX(14:14,1,MATCH(N$54,$10:$10,0))</f>
        <v>162143</v>
      </c>
      <c r="P58" s="145">
        <f t="shared" ca="1" si="50"/>
        <v>4813.5</v>
      </c>
    </row>
    <row r="59" spans="3:17" x14ac:dyDescent="0.25">
      <c r="C59" s="11" t="str">
        <f t="shared" si="48"/>
        <v>Surrey Heartlands Health and Care Partnership</v>
      </c>
      <c r="D59" s="11" t="s">
        <v>122</v>
      </c>
      <c r="E59" s="81">
        <f t="shared" ca="1" si="49"/>
        <v>4177</v>
      </c>
      <c r="F59">
        <f ca="1">INDEX(43:43,1,MATCH(F$54,$38:$38,0))</f>
        <v>2910</v>
      </c>
      <c r="G59">
        <f ca="1">INDEX(43:43,1,MATCH(G$54,$38:$38,0))</f>
        <v>4520</v>
      </c>
      <c r="H59">
        <f ca="1">INDEX(43:43,1,MATCH(H$54,$38:$38,0))</f>
        <v>3972</v>
      </c>
      <c r="I59">
        <f ca="1">INDEX(43:43,1,MATCH(I$54,$38:$38,0))</f>
        <v>4970</v>
      </c>
      <c r="J59">
        <f ca="1">INDEX(43:43,1,MATCH(J$54,$38:$38,0))</f>
        <v>4543</v>
      </c>
      <c r="K59">
        <f ca="1">INDEX(43:43,1,MATCH(K$54,$38:$38,0))</f>
        <v>5808</v>
      </c>
      <c r="L59">
        <f ca="1">INDEX(43:43,1,MATCH(L$54,$38:$38,0))</f>
        <v>2516</v>
      </c>
      <c r="N59">
        <f ca="1">INDEX(15:15,1,MATCH(N$54,$10:$10,0))</f>
        <v>96603</v>
      </c>
      <c r="P59" s="145">
        <f t="shared" ca="1" si="50"/>
        <v>3391.75</v>
      </c>
    </row>
    <row r="60" spans="3:17" x14ac:dyDescent="0.25">
      <c r="C60" s="11" t="str">
        <f t="shared" si="48"/>
        <v>Sussex Health and Care Partnership</v>
      </c>
      <c r="D60" s="11" t="s">
        <v>122</v>
      </c>
      <c r="E60" s="81">
        <f t="shared" ca="1" si="49"/>
        <v>7829</v>
      </c>
      <c r="F60">
        <f ca="1">INDEX(44:44,1,MATCH(F$54,$38:$38,0))</f>
        <v>5810</v>
      </c>
      <c r="G60">
        <f ca="1">INDEX(44:44,1,MATCH(G$54,$38:$38,0))</f>
        <v>7334</v>
      </c>
      <c r="H60">
        <f ca="1">INDEX(44:44,1,MATCH(H$54,$38:$38,0))</f>
        <v>7499</v>
      </c>
      <c r="I60">
        <f ca="1">INDEX(44:44,1,MATCH(I$54,$38:$38,0))</f>
        <v>9130</v>
      </c>
      <c r="J60">
        <f ca="1">INDEX(44:44,1,MATCH(J$54,$38:$38,0))</f>
        <v>8565</v>
      </c>
      <c r="K60">
        <f ca="1">INDEX(44:44,1,MATCH(K$54,$38:$38,0))</f>
        <v>11723</v>
      </c>
      <c r="L60">
        <f ca="1">INDEX(44:44,1,MATCH(L$54,$38:$38,0))</f>
        <v>4742</v>
      </c>
      <c r="N60">
        <f ca="1">INDEX(16:16,1,MATCH(N$54,$10:$10,0))</f>
        <v>176499</v>
      </c>
      <c r="P60" s="145">
        <f t="shared" ca="1" si="50"/>
        <v>5114</v>
      </c>
    </row>
    <row r="61" spans="3:17" x14ac:dyDescent="0.25">
      <c r="C61" s="11" t="str">
        <f t="shared" si="48"/>
        <v>SE</v>
      </c>
      <c r="D61" s="11" t="s">
        <v>122</v>
      </c>
      <c r="E61" s="81">
        <f ca="1">AVERAGE(F61:L61)</f>
        <v>34667</v>
      </c>
      <c r="F61">
        <f ca="1">INDEX(45:45,1,MATCH(F$54,$38:$38,0))</f>
        <v>21955</v>
      </c>
      <c r="G61">
        <f ca="1">INDEX(45:45,1,MATCH(G$54,$38:$38,0))</f>
        <v>32950</v>
      </c>
      <c r="H61">
        <f ca="1">INDEX(45:45,1,MATCH(H$54,$38:$38,0))</f>
        <v>34199</v>
      </c>
      <c r="I61">
        <f ca="1">INDEX(45:45,1,MATCH(I$54,$38:$38,0))</f>
        <v>39424</v>
      </c>
      <c r="J61">
        <f ca="1">INDEX(45:45,1,MATCH(J$54,$38:$38,0))</f>
        <v>38451</v>
      </c>
      <c r="K61">
        <f ca="1">INDEX(45:45,1,MATCH(K$54,$38:$38,0))</f>
        <v>54378</v>
      </c>
      <c r="L61">
        <f ca="1">INDEX(45:45,1,MATCH(L$54,$38:$38,0))</f>
        <v>21312</v>
      </c>
      <c r="N61">
        <f ca="1">INDEX(17:17,1,MATCH(N$54,$10:$10,0))</f>
        <v>842245</v>
      </c>
      <c r="P61" s="145">
        <f t="shared" ca="1" si="50"/>
        <v>27150.25</v>
      </c>
    </row>
    <row r="64" spans="3:17" x14ac:dyDescent="0.25">
      <c r="C64" s="150" t="s">
        <v>100</v>
      </c>
      <c r="D64" s="151">
        <f>C4</f>
        <v>1</v>
      </c>
      <c r="E64" s="150" t="s">
        <v>101</v>
      </c>
      <c r="F64" s="150"/>
      <c r="G64" s="150" t="str">
        <f>"Daily Average Required to hit "&amp;TEXT(C4,"0%")</f>
        <v>Daily Average Required to hit 100%</v>
      </c>
    </row>
    <row r="65" spans="2:58" x14ac:dyDescent="0.25">
      <c r="C65" s="150" t="str">
        <f>"Days Remaining until "&amp;TEXT(C2,"dd-mmm")</f>
        <v>Days Remaining until 31-Jan</v>
      </c>
      <c r="D65" s="150">
        <f>C3</f>
        <v>99</v>
      </c>
      <c r="E65" s="150"/>
      <c r="F65" s="150"/>
      <c r="G65" s="150"/>
    </row>
    <row r="66" spans="2:58" x14ac:dyDescent="0.25">
      <c r="C66" s="152" t="s">
        <v>10</v>
      </c>
      <c r="D66" s="152">
        <f>INDEX(PM_Pop_Data!$3:$9,MATCH(pm_chrt_data!$C66,PM_Pop_Data!$B$3:$B$9,0),MATCH(pm_chrt_data!$C$1,PM_Pop_Data!$2:$2,0))*$D$64</f>
        <v>284335</v>
      </c>
      <c r="E66" s="152">
        <f t="shared" ref="E66:E72" ca="1" si="51">D66-N55</f>
        <v>133053</v>
      </c>
      <c r="F66" s="150"/>
      <c r="G66" s="152">
        <f ca="1">ROUNDUP(E66/$D$65,0)</f>
        <v>1344</v>
      </c>
    </row>
    <row r="67" spans="2:58" x14ac:dyDescent="0.25">
      <c r="C67" s="152" t="s">
        <v>2</v>
      </c>
      <c r="D67" s="152">
        <f>INDEX(PM_Pop_Data!$3:$9,MATCH(pm_chrt_data!$C67,PM_Pop_Data!$B$3:$B$9,0),MATCH(pm_chrt_data!$C$1,PM_Pop_Data!$2:$2,0))*$D$64</f>
        <v>114455</v>
      </c>
      <c r="E67" s="152">
        <f t="shared" ca="1" si="51"/>
        <v>33175</v>
      </c>
      <c r="F67" s="150"/>
      <c r="G67" s="152">
        <f t="shared" ref="G67:G72" ca="1" si="52">ROUNDUP(E67/$D$65,0)</f>
        <v>336</v>
      </c>
    </row>
    <row r="68" spans="2:58" x14ac:dyDescent="0.25">
      <c r="C68" s="152" t="s">
        <v>6</v>
      </c>
      <c r="D68" s="152">
        <f>INDEX(PM_Pop_Data!$3:$9,MATCH(pm_chrt_data!$C68,PM_Pop_Data!$B$3:$B$9,0),MATCH(pm_chrt_data!$C$1,PM_Pop_Data!$2:$2,0))*$D$64</f>
        <v>335308</v>
      </c>
      <c r="E68" s="152">
        <f t="shared" ca="1" si="51"/>
        <v>160870</v>
      </c>
      <c r="F68" s="150"/>
      <c r="G68" s="152">
        <f t="shared" ca="1" si="52"/>
        <v>1625</v>
      </c>
    </row>
    <row r="69" spans="2:58" x14ac:dyDescent="0.25">
      <c r="C69" s="152" t="s">
        <v>12</v>
      </c>
      <c r="D69" s="152">
        <f>INDEX(PM_Pop_Data!$3:$9,MATCH(pm_chrt_data!$C69,PM_Pop_Data!$B$3:$B$9,0),MATCH(pm_chrt_data!$C$1,PM_Pop_Data!$2:$2,0))*$D$64</f>
        <v>330666</v>
      </c>
      <c r="E69" s="152">
        <f t="shared" ca="1" si="51"/>
        <v>168523</v>
      </c>
      <c r="F69" s="150"/>
      <c r="G69" s="152">
        <f t="shared" ca="1" si="52"/>
        <v>1703</v>
      </c>
    </row>
    <row r="70" spans="2:58" x14ac:dyDescent="0.25">
      <c r="C70" s="152" t="s">
        <v>8</v>
      </c>
      <c r="D70" s="152">
        <f>INDEX(PM_Pop_Data!$3:$9,MATCH(pm_chrt_data!$C70,PM_Pop_Data!$B$3:$B$9,0),MATCH(pm_chrt_data!$C$1,PM_Pop_Data!$2:$2,0))*$D$64</f>
        <v>184136</v>
      </c>
      <c r="E70" s="152">
        <f t="shared" ca="1" si="51"/>
        <v>87533</v>
      </c>
      <c r="F70" s="150"/>
      <c r="G70" s="152">
        <f t="shared" ca="1" si="52"/>
        <v>885</v>
      </c>
    </row>
    <row r="71" spans="2:58" x14ac:dyDescent="0.25">
      <c r="C71" s="152" t="s">
        <v>4</v>
      </c>
      <c r="D71" s="152">
        <f>INDEX(PM_Pop_Data!$3:$9,MATCH(pm_chrt_data!$C71,PM_Pop_Data!$B$3:$B$9,0),MATCH(pm_chrt_data!$C$1,PM_Pop_Data!$2:$2,0))*$D$64</f>
        <v>355189</v>
      </c>
      <c r="E71" s="152">
        <f t="shared" ca="1" si="51"/>
        <v>178690</v>
      </c>
      <c r="F71" s="150"/>
      <c r="G71" s="152">
        <f t="shared" ca="1" si="52"/>
        <v>1805</v>
      </c>
    </row>
    <row r="72" spans="2:58" x14ac:dyDescent="0.25">
      <c r="C72" s="152" t="s">
        <v>17</v>
      </c>
      <c r="D72" s="152">
        <f>INDEX(PM_Pop_Data!$3:$9,MATCH(pm_chrt_data!$C72,PM_Pop_Data!$B$3:$B$9,0),MATCH(pm_chrt_data!$C$1,PM_Pop_Data!$2:$2,0))*$D$64</f>
        <v>1604089</v>
      </c>
      <c r="E72" s="152">
        <f t="shared" ca="1" si="51"/>
        <v>761844</v>
      </c>
      <c r="F72" s="150"/>
      <c r="G72" s="152">
        <f t="shared" ca="1" si="52"/>
        <v>7696</v>
      </c>
      <c r="H72" s="83"/>
    </row>
    <row r="76" spans="2:58" ht="21" x14ac:dyDescent="0.35">
      <c r="C76" s="82" t="s">
        <v>103</v>
      </c>
      <c r="D76" t="str">
        <f>"Eligible population as at "&amp;TEXT(C1,"dd-mmm")</f>
        <v>Eligible population as at 24-Oct</v>
      </c>
    </row>
    <row r="77" spans="2:58" x14ac:dyDescent="0.25">
      <c r="B77" s="4" t="s">
        <v>104</v>
      </c>
      <c r="C77" s="4" t="str">
        <f>'Trend Chart'!C4</f>
        <v>SE</v>
      </c>
      <c r="D77" s="75">
        <f>INDEX(PM_Pop_Data!$3:$9,MATCH(pm_chrt_data!C77,PM_Pop_Data!$B$3:$B$9,0),MATCH(pm_chrt_data!C1,PM_Pop_Data!$2:$2,0))</f>
        <v>1604089</v>
      </c>
      <c r="F77" s="1"/>
      <c r="G77" s="1"/>
      <c r="H77" s="1"/>
      <c r="I77" s="1"/>
      <c r="J77" s="1"/>
      <c r="K77" s="1"/>
      <c r="L77" s="1">
        <f t="shared" ref="L77:AJ77" si="53">L10</f>
        <v>44459</v>
      </c>
      <c r="M77" s="1">
        <f t="shared" si="53"/>
        <v>44460</v>
      </c>
      <c r="N77" s="1">
        <f t="shared" si="53"/>
        <v>44461</v>
      </c>
      <c r="O77" s="1">
        <f t="shared" si="53"/>
        <v>44462</v>
      </c>
      <c r="P77" s="1">
        <f t="shared" si="53"/>
        <v>44463</v>
      </c>
      <c r="Q77" s="1">
        <f t="shared" si="53"/>
        <v>44464</v>
      </c>
      <c r="R77" s="1">
        <f t="shared" si="53"/>
        <v>44465</v>
      </c>
      <c r="S77" s="1">
        <f t="shared" si="53"/>
        <v>44466</v>
      </c>
      <c r="T77" s="1">
        <f t="shared" si="53"/>
        <v>44467</v>
      </c>
      <c r="U77" s="1">
        <f t="shared" si="53"/>
        <v>44468</v>
      </c>
      <c r="V77" s="1">
        <f t="shared" si="53"/>
        <v>44469</v>
      </c>
      <c r="W77" s="1">
        <f t="shared" si="53"/>
        <v>44470</v>
      </c>
      <c r="X77" s="1">
        <f t="shared" si="53"/>
        <v>44471</v>
      </c>
      <c r="Y77" s="1">
        <f t="shared" si="53"/>
        <v>44472</v>
      </c>
      <c r="Z77" s="1">
        <f t="shared" si="53"/>
        <v>44473</v>
      </c>
      <c r="AA77" s="1">
        <f t="shared" si="53"/>
        <v>44474</v>
      </c>
      <c r="AB77" s="1">
        <f t="shared" si="53"/>
        <v>44475</v>
      </c>
      <c r="AC77" s="1">
        <f t="shared" si="53"/>
        <v>44476</v>
      </c>
      <c r="AD77" s="1">
        <f t="shared" si="53"/>
        <v>44477</v>
      </c>
      <c r="AE77" s="1">
        <f t="shared" si="53"/>
        <v>44478</v>
      </c>
      <c r="AF77" s="1">
        <f t="shared" si="53"/>
        <v>44479</v>
      </c>
      <c r="AG77" s="1">
        <f t="shared" si="53"/>
        <v>44480</v>
      </c>
      <c r="AH77" s="1">
        <f t="shared" si="53"/>
        <v>44481</v>
      </c>
      <c r="AI77" s="1">
        <f t="shared" si="53"/>
        <v>44482</v>
      </c>
      <c r="AJ77" s="1">
        <f t="shared" si="53"/>
        <v>44483</v>
      </c>
      <c r="AK77" s="1">
        <f t="shared" ref="AK77:AM77" si="54">AK10</f>
        <v>44484</v>
      </c>
      <c r="AL77" s="1">
        <f t="shared" si="54"/>
        <v>44485</v>
      </c>
      <c r="AM77" s="1">
        <f t="shared" si="54"/>
        <v>44486</v>
      </c>
      <c r="AN77" s="1">
        <f t="shared" ref="AN77" si="55">AN10</f>
        <v>44487</v>
      </c>
      <c r="AO77" s="1">
        <f t="shared" ref="AO77:AT77" si="56">AO10</f>
        <v>44488</v>
      </c>
      <c r="AP77" s="1">
        <f t="shared" ref="AP77:AT77" si="57">AP10</f>
        <v>44489</v>
      </c>
      <c r="AQ77" s="1">
        <f t="shared" si="57"/>
        <v>44490</v>
      </c>
      <c r="AR77" s="1">
        <f t="shared" si="57"/>
        <v>44491</v>
      </c>
      <c r="AS77" s="1">
        <f t="shared" si="57"/>
        <v>44492</v>
      </c>
      <c r="AT77" s="1">
        <f t="shared" si="57"/>
        <v>44493</v>
      </c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</row>
    <row r="78" spans="2:58" x14ac:dyDescent="0.25">
      <c r="C78" t="s">
        <v>123</v>
      </c>
      <c r="F78" s="76"/>
      <c r="G78" s="76"/>
      <c r="H78" s="76"/>
      <c r="I78" s="76"/>
      <c r="J78" s="76"/>
      <c r="K78" s="76"/>
      <c r="L78" s="76">
        <f ca="1">IF(L77&gt;$C$1,NA(),(INDEX($23:$29,MATCH($C$77,$C$23:$C$29,0),MATCH(L$77,$22:$22,0))))</f>
        <v>1.1491043562968064E-2</v>
      </c>
      <c r="M78" s="76">
        <f ca="1">IF(M77&gt;$C$1,NA(),(INDEX($23:$29,MATCH($C$77,$C$23:$C$29,0),MATCH(M$77,$22:$22,0))))</f>
        <v>1.5638380126537024E-2</v>
      </c>
      <c r="N78" s="76">
        <f ca="1">IF(N77&gt;$C$1,NA(),(INDEX($23:$29,MATCH($C$77,$C$23:$C$29,0),MATCH(N$77,$22:$22,0))))</f>
        <v>2.9553203849165256E-2</v>
      </c>
      <c r="O78" s="76">
        <f ca="1">IF(O77&gt;$C$1,NA(),(INDEX($23:$29,MATCH($C$77,$C$23:$C$29,0),MATCH(O$77,$22:$22,0))))</f>
        <v>5.6280187212675928E-2</v>
      </c>
      <c r="P78" s="76">
        <f ca="1">IF(P77&gt;$C$1,NA(),(INDEX($23:$29,MATCH($C$77,$C$23:$C$29,0),MATCH(P$77,$22:$22,0))))</f>
        <v>8.2917034979164042E-2</v>
      </c>
      <c r="Q78" s="76">
        <f ca="1">IF(Q77&gt;$C$1,NA(),(INDEX($23:$29,MATCH($C$77,$C$23:$C$29,0),MATCH(Q$77,$22:$22,0))))</f>
        <v>0.11299830614617057</v>
      </c>
      <c r="R78" s="76">
        <f ca="1">IF(R77&gt;$C$1,NA(),(INDEX($23:$29,MATCH($C$77,$C$23:$C$29,0),MATCH(R$77,$22:$22,0))))</f>
        <v>0.12754942442442443</v>
      </c>
      <c r="S78" s="76">
        <f ca="1">IF(S77&gt;$C$1,NA(),(INDEX($23:$29,MATCH($C$77,$C$23:$C$29,0),MATCH(S$77,$22:$22,0))))</f>
        <v>0.14650546005089604</v>
      </c>
      <c r="T78" s="76">
        <f ca="1">IF(T77&gt;$C$1,NA(),(INDEX($23:$29,MATCH($C$77,$C$23:$C$29,0),MATCH(T$77,$22:$22,0))))</f>
        <v>0.1693864359983083</v>
      </c>
      <c r="U78" s="76">
        <f ca="1">IF(U77&gt;$C$1,NA(),(INDEX($23:$29,MATCH($C$77,$C$23:$C$29,0),MATCH(U$77,$22:$22,0))))</f>
        <v>0.18520749568170933</v>
      </c>
      <c r="V78" s="76">
        <f ca="1">IF(V77&gt;$C$1,NA(),(INDEX($23:$29,MATCH($C$77,$C$23:$C$29,0),MATCH(V$77,$22:$22,0))))</f>
        <v>0.20684386707167732</v>
      </c>
      <c r="W78" s="76">
        <f ca="1">IF(W77&gt;$C$1,NA(),(INDEX($23:$29,MATCH($C$77,$C$23:$C$29,0),MATCH(W$77,$22:$22,0))))</f>
        <v>0.23890061101586882</v>
      </c>
      <c r="X78" s="76">
        <f ca="1">IF(X77&gt;$C$1,NA(),(INDEX($23:$29,MATCH($C$77,$C$23:$C$29,0),MATCH(X$77,$22:$22,0))))</f>
        <v>0.29029159311812969</v>
      </c>
      <c r="Y78" s="76">
        <f ca="1">IF(Y77&gt;$C$1,NA(),(INDEX($23:$29,MATCH($C$77,$C$23:$C$29,0),MATCH(Y$77,$22:$22,0))))</f>
        <v>0.3129326157353241</v>
      </c>
      <c r="Z78" s="76">
        <f ca="1">IF(Z77&gt;$C$1,NA(),(INDEX($23:$29,MATCH($C$77,$C$23:$C$29,0),MATCH(Z$77,$22:$22,0))))</f>
        <v>0.33759270882799264</v>
      </c>
      <c r="AA78" s="76">
        <f ca="1">IF(AA77&gt;$C$1,NA(),(INDEX($23:$29,MATCH($C$77,$C$23:$C$29,0),MATCH(AA$77,$22:$22,0))))</f>
        <v>0.3646475263386672</v>
      </c>
      <c r="AB78" s="76">
        <f ca="1">IF(AB77&gt;$C$1,NA(),(INDEX($23:$29,MATCH($C$77,$C$23:$C$29,0),MATCH(AB$77,$22:$22,0))))</f>
        <v>0.37414722207253326</v>
      </c>
      <c r="AC78" s="76">
        <f ca="1">IF(AC77&gt;$C$1,NA(),(INDEX($23:$29,MATCH($C$77,$C$23:$C$29,0),MATCH(AC$77,$22:$22,0))))</f>
        <v>0.38394996807271908</v>
      </c>
      <c r="AD78" s="76">
        <f ca="1">IF(AD77&gt;$C$1,NA(),(INDEX($23:$29,MATCH($C$77,$C$23:$C$29,0),MATCH(AD$77,$22:$22,0))))</f>
        <v>0.38891075641721379</v>
      </c>
      <c r="AE78" s="76">
        <f ca="1">IF(AE77&gt;$C$1,NA(),(INDEX($23:$29,MATCH($C$77,$C$23:$C$29,0),MATCH(AE$77,$22:$22,0))))</f>
        <v>0.40511802528805074</v>
      </c>
      <c r="AF78" s="76">
        <f ca="1">IF(AF77&gt;$C$1,NA(),(INDEX($23:$29,MATCH($C$77,$C$23:$C$29,0),MATCH(AF$77,$22:$22,0))))</f>
        <v>0.41389364518696647</v>
      </c>
      <c r="AG78" s="76">
        <f ca="1">IF(AG77&gt;$C$1,NA(),(INDEX($23:$29,MATCH($C$77,$C$23:$C$29,0),MATCH(AG$77,$22:$22,0))))</f>
        <v>0.42369854589951117</v>
      </c>
      <c r="AH78" s="76">
        <f ca="1">IF(AH77&gt;$C$1,NA(),(INDEX($23:$29,MATCH($C$77,$C$23:$C$29,0),MATCH(AH$77,$22:$22,0))))</f>
        <v>0.43878653186361771</v>
      </c>
      <c r="AI78" s="76">
        <f ca="1">IF(AI77&gt;$C$1,NA(),(INDEX($23:$29,MATCH($C$77,$C$23:$C$29,0),MATCH(AI$77,$22:$22,0))))</f>
        <v>0.45225818878363377</v>
      </c>
      <c r="AJ78" s="76">
        <f ca="1">IF(AJ77&gt;$C$1,NA(),(INDEX($23:$29,MATCH($C$77,$C$23:$C$29,0),MATCH(AJ$77,$22:$22,0))))</f>
        <v>0.46402203612133186</v>
      </c>
      <c r="AK78" s="76">
        <f ca="1">IF(AK77&gt;$C$1,NA(),(INDEX($23:$29,MATCH($C$77,$C$23:$C$29,0),MATCH(AK$77,$22:$22,0))))</f>
        <v>0.46185677565476857</v>
      </c>
      <c r="AL78" s="76">
        <f ca="1">IF(AL77&gt;$C$1,NA(),(INDEX($23:$29,MATCH($C$77,$C$23:$C$29,0),MATCH(AL$77,$22:$22,0))))</f>
        <v>0.47359490017270817</v>
      </c>
      <c r="AM78" s="76">
        <f ca="1">IF(AM77&gt;$C$1,NA(),(INDEX($23:$29,MATCH($C$77,$C$23:$C$29,0),MATCH(AM$77,$22:$22,0))))</f>
        <v>0.47838599699520717</v>
      </c>
      <c r="AN78" s="76">
        <f ca="1">IF(AN77&gt;$C$1,NA(),(INDEX($23:$29,MATCH($C$77,$C$23:$C$29,0),MATCH(AN$77,$22:$22,0))))</f>
        <v>0.48514469704361401</v>
      </c>
      <c r="AO78" s="76">
        <f ca="1">IF(AO77&gt;$C$1,NA(),(INDEX($23:$29,MATCH($C$77,$C$23:$C$29,0),MATCH(AO$77,$22:$22,0))))</f>
        <v>0.49519581798963574</v>
      </c>
      <c r="AP78" s="76">
        <f t="shared" ref="AP78:AT78" ca="1" si="58">IF(AP77&gt;$C$1,NA(),(INDEX($23:$29,MATCH($C$77,$C$23:$C$29,0),MATCH(AP$77,$22:$22,0))))</f>
        <v>0.50253133706259823</v>
      </c>
      <c r="AQ78" s="76">
        <f t="shared" ca="1" si="58"/>
        <v>0.49042527538699671</v>
      </c>
      <c r="AR78" s="76">
        <f t="shared" ca="1" si="58"/>
        <v>0.51632451816537095</v>
      </c>
      <c r="AS78" s="76">
        <f t="shared" ca="1" si="58"/>
        <v>0.52325620676489726</v>
      </c>
      <c r="AT78" s="76">
        <f t="shared" ca="1" si="58"/>
        <v>0.52506126530385788</v>
      </c>
    </row>
    <row r="79" spans="2:58" x14ac:dyDescent="0.25">
      <c r="C79" t="s">
        <v>83</v>
      </c>
      <c r="F79" s="76"/>
      <c r="G79" s="76"/>
      <c r="H79" s="76"/>
      <c r="I79" s="76"/>
      <c r="J79" s="76"/>
      <c r="K79" s="76"/>
      <c r="L79" s="76" t="str">
        <f t="shared" ref="L79:AM79" si="59">IF(L$77=$C$1,L78,"")</f>
        <v/>
      </c>
      <c r="M79" s="76" t="str">
        <f t="shared" si="59"/>
        <v/>
      </c>
      <c r="N79" s="76" t="str">
        <f t="shared" si="59"/>
        <v/>
      </c>
      <c r="O79" s="76" t="str">
        <f t="shared" si="59"/>
        <v/>
      </c>
      <c r="P79" s="76" t="str">
        <f t="shared" si="59"/>
        <v/>
      </c>
      <c r="Q79" s="76" t="str">
        <f t="shared" si="59"/>
        <v/>
      </c>
      <c r="R79" s="76" t="str">
        <f t="shared" si="59"/>
        <v/>
      </c>
      <c r="S79" s="76" t="str">
        <f t="shared" si="59"/>
        <v/>
      </c>
      <c r="T79" s="76" t="str">
        <f t="shared" si="59"/>
        <v/>
      </c>
      <c r="U79" s="76" t="str">
        <f t="shared" si="59"/>
        <v/>
      </c>
      <c r="V79" s="76" t="str">
        <f t="shared" si="59"/>
        <v/>
      </c>
      <c r="W79" s="76" t="str">
        <f t="shared" si="59"/>
        <v/>
      </c>
      <c r="X79" s="76" t="str">
        <f t="shared" si="59"/>
        <v/>
      </c>
      <c r="Y79" s="76" t="str">
        <f t="shared" si="59"/>
        <v/>
      </c>
      <c r="Z79" s="76" t="str">
        <f t="shared" si="59"/>
        <v/>
      </c>
      <c r="AA79" s="76" t="str">
        <f t="shared" si="59"/>
        <v/>
      </c>
      <c r="AB79" s="76" t="str">
        <f t="shared" si="59"/>
        <v/>
      </c>
      <c r="AC79" s="76" t="str">
        <f t="shared" si="59"/>
        <v/>
      </c>
      <c r="AD79" s="76" t="str">
        <f t="shared" si="59"/>
        <v/>
      </c>
      <c r="AE79" s="76" t="str">
        <f t="shared" si="59"/>
        <v/>
      </c>
      <c r="AF79" s="76" t="str">
        <f t="shared" si="59"/>
        <v/>
      </c>
      <c r="AG79" s="76" t="str">
        <f t="shared" si="59"/>
        <v/>
      </c>
      <c r="AH79" s="76" t="str">
        <f t="shared" si="59"/>
        <v/>
      </c>
      <c r="AI79" s="76" t="str">
        <f t="shared" si="59"/>
        <v/>
      </c>
      <c r="AJ79" s="76" t="str">
        <f t="shared" si="59"/>
        <v/>
      </c>
      <c r="AK79" s="76" t="str">
        <f t="shared" si="59"/>
        <v/>
      </c>
      <c r="AL79" s="76" t="str">
        <f t="shared" si="59"/>
        <v/>
      </c>
      <c r="AM79" s="76" t="str">
        <f t="shared" si="59"/>
        <v/>
      </c>
      <c r="AN79" s="76" t="str">
        <f t="shared" ref="AN79" si="60">IF(AN$77=$C$1,AN78,"")</f>
        <v/>
      </c>
      <c r="AO79" s="76" t="str">
        <f t="shared" ref="AO79:AT79" si="61">IF(AO$77=$C$1,AO78,"")</f>
        <v/>
      </c>
      <c r="AP79" s="76" t="str">
        <f t="shared" ref="AP79:AT79" si="62">IF(AP$77=$C$1,AP78,"")</f>
        <v/>
      </c>
      <c r="AQ79" s="76" t="str">
        <f t="shared" si="62"/>
        <v/>
      </c>
      <c r="AR79" s="76" t="str">
        <f t="shared" si="62"/>
        <v/>
      </c>
      <c r="AS79" s="76" t="str">
        <f t="shared" si="62"/>
        <v/>
      </c>
      <c r="AT79" s="76">
        <f t="shared" ca="1" si="62"/>
        <v>0.52506126530385788</v>
      </c>
    </row>
    <row r="80" spans="2:58" s="75" customFormat="1" x14ac:dyDescent="0.25">
      <c r="C80" s="75" t="s">
        <v>26</v>
      </c>
      <c r="L80" s="75">
        <f t="shared" ref="L80:AM80" ca="1" si="63">IF(L77&gt;$C$1,NA(),INDEX(L$39:L$45,MATCH($C$77,$C$39:$C$45,0)))</f>
        <v>586</v>
      </c>
      <c r="M80" s="75">
        <f t="shared" ca="1" si="63"/>
        <v>1939</v>
      </c>
      <c r="N80" s="75">
        <f t="shared" ca="1" si="63"/>
        <v>6058</v>
      </c>
      <c r="O80" s="75">
        <f t="shared" ca="1" si="63"/>
        <v>8609</v>
      </c>
      <c r="P80" s="75">
        <f t="shared" ca="1" si="63"/>
        <v>12521</v>
      </c>
      <c r="Q80" s="75">
        <f t="shared" ca="1" si="63"/>
        <v>16068</v>
      </c>
      <c r="R80" s="75">
        <f t="shared" ca="1" si="63"/>
        <v>8186</v>
      </c>
      <c r="S80" s="75">
        <f t="shared" ca="1" si="63"/>
        <v>11136</v>
      </c>
      <c r="T80" s="75">
        <f t="shared" ca="1" si="63"/>
        <v>16687</v>
      </c>
      <c r="U80" s="75">
        <f t="shared" ca="1" si="63"/>
        <v>17168</v>
      </c>
      <c r="V80" s="75">
        <f t="shared" ca="1" si="63"/>
        <v>23423</v>
      </c>
      <c r="W80" s="75">
        <f t="shared" ca="1" si="63"/>
        <v>26674</v>
      </c>
      <c r="X80" s="75">
        <f t="shared" ca="1" si="63"/>
        <v>39418</v>
      </c>
      <c r="Y80" s="75">
        <f t="shared" ca="1" si="63"/>
        <v>15694</v>
      </c>
      <c r="Z80" s="75">
        <f t="shared" ca="1" si="63"/>
        <v>18074</v>
      </c>
      <c r="AA80" s="75">
        <f t="shared" ca="1" si="63"/>
        <v>25470</v>
      </c>
      <c r="AB80" s="75">
        <f t="shared" ca="1" si="63"/>
        <v>26893</v>
      </c>
      <c r="AC80" s="75">
        <f t="shared" ca="1" si="63"/>
        <v>28935</v>
      </c>
      <c r="AD80" s="75">
        <f t="shared" ca="1" si="63"/>
        <v>27303</v>
      </c>
      <c r="AE80" s="75">
        <f t="shared" ca="1" si="63"/>
        <v>41552</v>
      </c>
      <c r="AF80" s="75">
        <f t="shared" ca="1" si="63"/>
        <v>16562</v>
      </c>
      <c r="AG80" s="75">
        <f t="shared" ca="1" si="63"/>
        <v>17201</v>
      </c>
      <c r="AH80" s="75">
        <f t="shared" ca="1" si="63"/>
        <v>28243</v>
      </c>
      <c r="AI80" s="75">
        <f t="shared" ca="1" si="63"/>
        <v>29733</v>
      </c>
      <c r="AJ80" s="75">
        <f t="shared" ca="1" si="63"/>
        <v>34419</v>
      </c>
      <c r="AK80" s="75">
        <f t="shared" ca="1" si="63"/>
        <v>28930</v>
      </c>
      <c r="AL80" s="75">
        <f t="shared" ca="1" si="63"/>
        <v>49917</v>
      </c>
      <c r="AM80" s="75">
        <f t="shared" ca="1" si="63"/>
        <v>19059</v>
      </c>
      <c r="AN80" s="75">
        <f t="shared" ref="AN80" ca="1" si="64">IF(AN77&gt;$C$1,NA(),INDEX(AN$39:AN$45,MATCH($C$77,$C$39:$C$45,0)))</f>
        <v>21955</v>
      </c>
      <c r="AO80" s="75">
        <f t="shared" ref="AO80:AT80" ca="1" si="65">IF(AO77&gt;$C$1,NA(),INDEX(AO$39:AO$45,MATCH($C$77,$C$39:$C$45,0)))</f>
        <v>32950</v>
      </c>
      <c r="AP80" s="75">
        <f t="shared" ref="AP80:AT80" ca="1" si="66">IF(AP77&gt;$C$1,NA(),INDEX(AP$39:AP$45,MATCH($C$77,$C$39:$C$45,0)))</f>
        <v>34199</v>
      </c>
      <c r="AQ80" s="75">
        <f t="shared" ca="1" si="66"/>
        <v>39424</v>
      </c>
      <c r="AR80" s="75">
        <f t="shared" ca="1" si="66"/>
        <v>38451</v>
      </c>
      <c r="AS80" s="75">
        <f t="shared" ca="1" si="66"/>
        <v>54378</v>
      </c>
      <c r="AT80" s="75">
        <f t="shared" ca="1" si="66"/>
        <v>21312</v>
      </c>
    </row>
    <row r="81" spans="2:46" s="75" customFormat="1" x14ac:dyDescent="0.25">
      <c r="C81" s="75" t="s">
        <v>106</v>
      </c>
      <c r="L81" s="75" t="e">
        <f ca="1">IF(_xlfn.MAXIFS($F$80:$AT$80,$F$80:$AT$80,"&lt;&gt;#N/A")=L80,L80,NA())</f>
        <v>#N/A</v>
      </c>
      <c r="M81" s="75" t="e">
        <f ca="1">IF(_xlfn.MAXIFS($F$80:$AT$80,$F$80:$AT$80,"&lt;&gt;#N/A")=M80,M80,NA())</f>
        <v>#N/A</v>
      </c>
      <c r="N81" s="75" t="e">
        <f ca="1">IF(_xlfn.MAXIFS($F$80:$AT$80,$F$80:$AT$80,"&lt;&gt;#N/A")=N80,N80,NA())</f>
        <v>#N/A</v>
      </c>
      <c r="O81" s="75" t="e">
        <f ca="1">IF(_xlfn.MAXIFS($F$80:$AT$80,$F$80:$AT$80,"&lt;&gt;#N/A")=O80,O80,NA())</f>
        <v>#N/A</v>
      </c>
      <c r="P81" s="75" t="e">
        <f ca="1">IF(_xlfn.MAXIFS($F$80:$AT$80,$F$80:$AT$80,"&lt;&gt;#N/A")=P80,P80,NA())</f>
        <v>#N/A</v>
      </c>
      <c r="Q81" s="75" t="e">
        <f ca="1">IF(_xlfn.MAXIFS($F$80:$AT$80,$F$80:$AT$80,"&lt;&gt;#N/A")=Q80,Q80,NA())</f>
        <v>#N/A</v>
      </c>
      <c r="R81" s="75" t="e">
        <f ca="1">IF(_xlfn.MAXIFS($F$80:$AT$80,$F$80:$AT$80,"&lt;&gt;#N/A")=R80,R80,NA())</f>
        <v>#N/A</v>
      </c>
      <c r="S81" s="75" t="e">
        <f ca="1">IF(_xlfn.MAXIFS($F$80:$AT$80,$F$80:$AT$80,"&lt;&gt;#N/A")=S80,S80,NA())</f>
        <v>#N/A</v>
      </c>
      <c r="T81" s="75" t="e">
        <f ca="1">IF(_xlfn.MAXIFS($F$80:$AT$80,$F$80:$AT$80,"&lt;&gt;#N/A")=T80,T80,NA())</f>
        <v>#N/A</v>
      </c>
      <c r="U81" s="75" t="e">
        <f ca="1">IF(_xlfn.MAXIFS($F$80:$AT$80,$F$80:$AT$80,"&lt;&gt;#N/A")=U80,U80,NA())</f>
        <v>#N/A</v>
      </c>
      <c r="V81" s="75" t="e">
        <f ca="1">IF(_xlfn.MAXIFS($F$80:$AT$80,$F$80:$AT$80,"&lt;&gt;#N/A")=V80,V80,NA())</f>
        <v>#N/A</v>
      </c>
      <c r="W81" s="75" t="e">
        <f ca="1">IF(_xlfn.MAXIFS($F$80:$AT$80,$F$80:$AT$80,"&lt;&gt;#N/A")=W80,W80,NA())</f>
        <v>#N/A</v>
      </c>
      <c r="X81" s="75" t="e">
        <f ca="1">IF(_xlfn.MAXIFS($F$80:$AT$80,$F$80:$AT$80,"&lt;&gt;#N/A")=X80,X80,NA())</f>
        <v>#N/A</v>
      </c>
      <c r="Y81" s="75" t="e">
        <f ca="1">IF(_xlfn.MAXIFS($F$80:$AT$80,$F$80:$AT$80,"&lt;&gt;#N/A")=Y80,Y80,NA())</f>
        <v>#N/A</v>
      </c>
      <c r="Z81" s="75" t="e">
        <f ca="1">IF(_xlfn.MAXIFS($F$80:$AT$80,$F$80:$AT$80,"&lt;&gt;#N/A")=Z80,Z80,NA())</f>
        <v>#N/A</v>
      </c>
      <c r="AA81" s="75" t="e">
        <f ca="1">IF(_xlfn.MAXIFS($F$80:$AT$80,$F$80:$AT$80,"&lt;&gt;#N/A")=AA80,AA80,NA())</f>
        <v>#N/A</v>
      </c>
      <c r="AB81" s="75" t="e">
        <f ca="1">IF(_xlfn.MAXIFS($F$80:$AT$80,$F$80:$AT$80,"&lt;&gt;#N/A")=AB80,AB80,NA())</f>
        <v>#N/A</v>
      </c>
      <c r="AC81" s="75" t="e">
        <f ca="1">IF(_xlfn.MAXIFS($F$80:$AT$80,$F$80:$AT$80,"&lt;&gt;#N/A")=AC80,AC80,NA())</f>
        <v>#N/A</v>
      </c>
      <c r="AD81" s="75" t="e">
        <f ca="1">IF(_xlfn.MAXIFS($F$80:$AT$80,$F$80:$AT$80,"&lt;&gt;#N/A")=AD80,AD80,NA())</f>
        <v>#N/A</v>
      </c>
      <c r="AE81" s="75" t="e">
        <f ca="1">IF(_xlfn.MAXIFS($F$80:$AT$80,$F$80:$AT$80,"&lt;&gt;#N/A")=AE80,AE80,NA())</f>
        <v>#N/A</v>
      </c>
      <c r="AF81" s="75" t="e">
        <f ca="1">IF(_xlfn.MAXIFS($F$80:$AT$80,$F$80:$AT$80,"&lt;&gt;#N/A")=AF80,AF80,NA())</f>
        <v>#N/A</v>
      </c>
      <c r="AG81" s="75" t="e">
        <f ca="1">IF(_xlfn.MAXIFS($F$80:$AT$80,$F$80:$AT$80,"&lt;&gt;#N/A")=AG80,AG80,NA())</f>
        <v>#N/A</v>
      </c>
      <c r="AH81" s="75" t="e">
        <f ca="1">IF(_xlfn.MAXIFS($F$80:$AT$80,$F$80:$AT$80,"&lt;&gt;#N/A")=AH80,AH80,NA())</f>
        <v>#N/A</v>
      </c>
      <c r="AI81" s="75" t="e">
        <f ca="1">IF(_xlfn.MAXIFS($F$80:$AT$80,$F$80:$AT$80,"&lt;&gt;#N/A")=AI80,AI80,NA())</f>
        <v>#N/A</v>
      </c>
      <c r="AJ81" s="75" t="e">
        <f ca="1">IF(_xlfn.MAXIFS($F$80:$AT$80,$F$80:$AT$80,"&lt;&gt;#N/A")=AJ80,AJ80,NA())</f>
        <v>#N/A</v>
      </c>
      <c r="AK81" s="75" t="e">
        <f ca="1">IF(_xlfn.MAXIFS($F$80:$AT$80,$F$80:$AT$80,"&lt;&gt;#N/A")=AK80,AK80,NA())</f>
        <v>#N/A</v>
      </c>
      <c r="AL81" s="75" t="e">
        <f ca="1">IF(_xlfn.MAXIFS($F$80:$AT$80,$F$80:$AT$80,"&lt;&gt;#N/A")=AL80,AL80,NA())</f>
        <v>#N/A</v>
      </c>
      <c r="AM81" s="75" t="e">
        <f ca="1">IF(_xlfn.MAXIFS($F$80:$AT$80,$F$80:$AT$80,"&lt;&gt;#N/A")=AM80,AM80,NA())</f>
        <v>#N/A</v>
      </c>
      <c r="AN81" s="75" t="e">
        <f ca="1">IF(_xlfn.MAXIFS($F$80:$AT$80,$F$80:$AT$80,"&lt;&gt;#N/A")=AN80,AN80,NA())</f>
        <v>#N/A</v>
      </c>
      <c r="AO81" s="75" t="e">
        <f ca="1">IF(_xlfn.MAXIFS($F$80:$AT$80,$F$80:$AT$80,"&lt;&gt;#N/A")=AO80,AO80,NA())</f>
        <v>#N/A</v>
      </c>
      <c r="AP81" s="75" t="e">
        <f t="shared" ref="AP81:AT81" ca="1" si="67">IF(_xlfn.MAXIFS($F$80:$AT$80,$F$80:$AT$80,"&lt;&gt;#N/A")=AP80,AP80,NA())</f>
        <v>#N/A</v>
      </c>
      <c r="AQ81" s="75" t="e">
        <f t="shared" ca="1" si="67"/>
        <v>#N/A</v>
      </c>
      <c r="AR81" s="75" t="e">
        <f t="shared" ca="1" si="67"/>
        <v>#N/A</v>
      </c>
      <c r="AS81" s="75">
        <f t="shared" ca="1" si="67"/>
        <v>54378</v>
      </c>
      <c r="AT81" s="75" t="e">
        <f t="shared" ca="1" si="67"/>
        <v>#N/A</v>
      </c>
    </row>
    <row r="82" spans="2:46" s="75" customFormat="1" x14ac:dyDescent="0.25">
      <c r="C82" s="75" t="str">
        <f>G64</f>
        <v>Daily Average Required to hit 100%</v>
      </c>
      <c r="L82" s="75" t="e">
        <f t="shared" ref="L82:AT82" si="68">IF(L$77&lt;=$C$1,NA(),INDEX($G$66:$G$72,MATCH($C$77,$C$66:$C$72,0)))</f>
        <v>#N/A</v>
      </c>
      <c r="M82" s="75" t="e">
        <f t="shared" si="68"/>
        <v>#N/A</v>
      </c>
      <c r="N82" s="75" t="e">
        <f t="shared" si="68"/>
        <v>#N/A</v>
      </c>
      <c r="O82" s="75" t="e">
        <f t="shared" si="68"/>
        <v>#N/A</v>
      </c>
      <c r="P82" s="75" t="e">
        <f t="shared" si="68"/>
        <v>#N/A</v>
      </c>
      <c r="Q82" s="75" t="e">
        <f t="shared" si="68"/>
        <v>#N/A</v>
      </c>
      <c r="R82" s="75" t="e">
        <f t="shared" si="68"/>
        <v>#N/A</v>
      </c>
      <c r="S82" s="75" t="e">
        <f t="shared" si="68"/>
        <v>#N/A</v>
      </c>
      <c r="T82" s="75" t="e">
        <f t="shared" si="68"/>
        <v>#N/A</v>
      </c>
      <c r="U82" s="75" t="e">
        <f t="shared" si="68"/>
        <v>#N/A</v>
      </c>
      <c r="V82" s="75" t="e">
        <f t="shared" si="68"/>
        <v>#N/A</v>
      </c>
      <c r="W82" s="75" t="e">
        <f t="shared" si="68"/>
        <v>#N/A</v>
      </c>
      <c r="X82" s="75" t="e">
        <f t="shared" si="68"/>
        <v>#N/A</v>
      </c>
      <c r="Y82" s="75" t="e">
        <f t="shared" si="68"/>
        <v>#N/A</v>
      </c>
      <c r="Z82" s="75" t="e">
        <f t="shared" si="68"/>
        <v>#N/A</v>
      </c>
      <c r="AA82" s="75" t="e">
        <f t="shared" si="68"/>
        <v>#N/A</v>
      </c>
      <c r="AB82" s="75" t="e">
        <f t="shared" si="68"/>
        <v>#N/A</v>
      </c>
      <c r="AC82" s="75" t="e">
        <f t="shared" si="68"/>
        <v>#N/A</v>
      </c>
      <c r="AD82" s="75" t="e">
        <f t="shared" si="68"/>
        <v>#N/A</v>
      </c>
      <c r="AE82" s="75" t="e">
        <f t="shared" si="68"/>
        <v>#N/A</v>
      </c>
      <c r="AF82" s="75" t="e">
        <f t="shared" si="68"/>
        <v>#N/A</v>
      </c>
      <c r="AG82" s="75" t="e">
        <f t="shared" si="68"/>
        <v>#N/A</v>
      </c>
      <c r="AH82" s="75" t="e">
        <f t="shared" si="68"/>
        <v>#N/A</v>
      </c>
      <c r="AI82" s="75" t="e">
        <f t="shared" si="68"/>
        <v>#N/A</v>
      </c>
      <c r="AJ82" s="75" t="e">
        <f t="shared" si="68"/>
        <v>#N/A</v>
      </c>
      <c r="AK82" s="75" t="e">
        <f t="shared" si="68"/>
        <v>#N/A</v>
      </c>
      <c r="AL82" s="75" t="e">
        <f t="shared" si="68"/>
        <v>#N/A</v>
      </c>
      <c r="AM82" s="75" t="e">
        <f t="shared" si="68"/>
        <v>#N/A</v>
      </c>
      <c r="AN82" s="75" t="e">
        <f t="shared" si="68"/>
        <v>#N/A</v>
      </c>
      <c r="AO82" s="75" t="e">
        <f t="shared" si="68"/>
        <v>#N/A</v>
      </c>
      <c r="AP82" s="75" t="e">
        <f t="shared" si="68"/>
        <v>#N/A</v>
      </c>
      <c r="AQ82" s="75" t="e">
        <f t="shared" si="68"/>
        <v>#N/A</v>
      </c>
      <c r="AR82" s="75" t="e">
        <f t="shared" si="68"/>
        <v>#N/A</v>
      </c>
      <c r="AS82" s="75" t="e">
        <f t="shared" si="68"/>
        <v>#N/A</v>
      </c>
      <c r="AT82" s="75" t="e">
        <f t="shared" si="68"/>
        <v>#N/A</v>
      </c>
    </row>
    <row r="83" spans="2:46" s="75" customFormat="1" x14ac:dyDescent="0.25">
      <c r="C83" s="84" t="s">
        <v>105</v>
      </c>
      <c r="D83" s="84"/>
      <c r="E83" s="84"/>
      <c r="F83" s="84"/>
      <c r="G83" s="84"/>
      <c r="H83" s="84"/>
      <c r="I83" s="84"/>
      <c r="J83" s="84"/>
      <c r="K83" s="84"/>
      <c r="L83" s="84" t="e" cm="1">
        <f t="array" ref="L83">IFERROR(INDEX($E$55:$E$61,MATCH($C$77,$C$55:$C$61,0),IF(MATCH(L$77,$F$54:$L$54,0)&gt;0,1,0)),NA())</f>
        <v>#N/A</v>
      </c>
      <c r="M83" s="84" t="e" cm="1">
        <f t="array" ref="M83">IFERROR(INDEX($E$55:$E$61,MATCH($C$77,$C$55:$C$61,0),IF(MATCH(M$77,$F$54:$L$54,0)&gt;0,1,0)),NA())</f>
        <v>#N/A</v>
      </c>
      <c r="N83" s="84" t="e" cm="1">
        <f t="array" ref="N83">IFERROR(INDEX($E$55:$E$61,MATCH($C$77,$C$55:$C$61,0),IF(MATCH(N$77,$F$54:$L$54,0)&gt;0,1,0)),NA())</f>
        <v>#N/A</v>
      </c>
      <c r="O83" s="84" t="e" cm="1">
        <f t="array" ref="O83">IFERROR(INDEX($E$55:$E$61,MATCH($C$77,$C$55:$C$61,0),IF(MATCH(O$77,$F$54:$L$54,0)&gt;0,1,0)),NA())</f>
        <v>#N/A</v>
      </c>
      <c r="P83" s="84" t="e" cm="1">
        <f t="array" ref="P83">IFERROR(INDEX($E$55:$E$61,MATCH($C$77,$C$55:$C$61,0),IF(MATCH(P$77,$F$54:$L$54,0)&gt;0,1,0)),NA())</f>
        <v>#N/A</v>
      </c>
      <c r="Q83" s="84" t="e" cm="1">
        <f t="array" ref="Q83">IFERROR(INDEX($E$55:$E$61,MATCH($C$77,$C$55:$C$61,0),IF(MATCH(Q$77,$F$54:$L$54,0)&gt;0,1,0)),NA())</f>
        <v>#N/A</v>
      </c>
      <c r="R83" s="84" t="e" cm="1">
        <f t="array" ref="R83">IFERROR(INDEX($E$55:$E$61,MATCH($C$77,$C$55:$C$61,0),IF(MATCH(R$77,$F$54:$L$54,0)&gt;0,1,0)),NA())</f>
        <v>#N/A</v>
      </c>
      <c r="S83" s="84" t="e" cm="1">
        <f t="array" ref="S83">IFERROR(INDEX($E$55:$E$61,MATCH($C$77,$C$55:$C$61,0),IF(MATCH(S$77,$F$54:$L$54,0)&gt;0,1,0)),NA())</f>
        <v>#N/A</v>
      </c>
      <c r="T83" s="84" t="e" cm="1">
        <f t="array" ref="T83">IFERROR(INDEX($E$55:$E$61,MATCH($C$77,$C$55:$C$61,0),IF(MATCH(T$77,$F$54:$L$54,0)&gt;0,1,0)),NA())</f>
        <v>#N/A</v>
      </c>
      <c r="U83" s="84" t="e" cm="1">
        <f t="array" ref="U83">IFERROR(INDEX($E$55:$E$61,MATCH($C$77,$C$55:$C$61,0),IF(MATCH(U$77,$F$54:$L$54,0)&gt;0,1,0)),NA())</f>
        <v>#N/A</v>
      </c>
      <c r="V83" s="84" t="e" cm="1">
        <f t="array" ref="V83">IFERROR(INDEX($E$55:$E$61,MATCH($C$77,$C$55:$C$61,0),IF(MATCH(V$77,$F$54:$L$54,0)&gt;0,1,0)),NA())</f>
        <v>#N/A</v>
      </c>
      <c r="W83" s="84" t="e" cm="1">
        <f t="array" ref="W83">IFERROR(INDEX($E$55:$E$61,MATCH($C$77,$C$55:$C$61,0),IF(MATCH(W$77,$F$54:$L$54,0)&gt;0,1,0)),NA())</f>
        <v>#N/A</v>
      </c>
      <c r="X83" s="84" t="e" cm="1">
        <f t="array" ref="X83">IFERROR(INDEX($E$55:$E$61,MATCH($C$77,$C$55:$C$61,0),IF(MATCH(X$77,$F$54:$L$54,0)&gt;0,1,0)),NA())</f>
        <v>#N/A</v>
      </c>
      <c r="Y83" s="84" t="e" cm="1">
        <f t="array" ref="Y83">IFERROR(INDEX($E$55:$E$61,MATCH($C$77,$C$55:$C$61,0),IF(MATCH(Y$77,$F$54:$L$54,0)&gt;0,1,0)),NA())</f>
        <v>#N/A</v>
      </c>
      <c r="Z83" s="84" t="e" cm="1">
        <f t="array" ref="Z83">IFERROR(INDEX($E$55:$E$61,MATCH($C$77,$C$55:$C$61,0),IF(MATCH(Z$77,$F$54:$L$54,0)&gt;0,1,0)),NA())</f>
        <v>#N/A</v>
      </c>
      <c r="AA83" s="84" t="e" cm="1">
        <f t="array" ref="AA83">IFERROR(INDEX($E$55:$E$61,MATCH($C$77,$C$55:$C$61,0),IF(MATCH(AA$77,$F$54:$L$54,0)&gt;0,1,0)),NA())</f>
        <v>#N/A</v>
      </c>
      <c r="AB83" s="84" t="e" cm="1">
        <f t="array" ref="AB83">IFERROR(INDEX($E$55:$E$61,MATCH($C$77,$C$55:$C$61,0),IF(MATCH(AB$77,$F$54:$L$54,0)&gt;0,1,0)),NA())</f>
        <v>#N/A</v>
      </c>
      <c r="AC83" s="84" t="e" cm="1">
        <f t="array" ref="AC83">IFERROR(INDEX($E$55:$E$61,MATCH($C$77,$C$55:$C$61,0),IF(MATCH(AC$77,$F$54:$L$54,0)&gt;0,1,0)),NA())</f>
        <v>#N/A</v>
      </c>
      <c r="AD83" s="84" t="e" cm="1">
        <f t="array" ref="AD83">IFERROR(INDEX($E$55:$E$61,MATCH($C$77,$C$55:$C$61,0),IF(MATCH(AD$77,$F$54:$L$54,0)&gt;0,1,0)),NA())</f>
        <v>#N/A</v>
      </c>
      <c r="AE83" s="84" t="e" cm="1">
        <f t="array" ref="AE83">IFERROR(INDEX($E$55:$E$61,MATCH($C$77,$C$55:$C$61,0),IF(MATCH(AE$77,$F$54:$L$54,0)&gt;0,1,0)),NA())</f>
        <v>#N/A</v>
      </c>
      <c r="AF83" s="84" t="e" cm="1">
        <f t="array" ref="AF83">IFERROR(INDEX($E$55:$E$61,MATCH($C$77,$C$55:$C$61,0),IF(MATCH(AF$77,$F$54:$L$54,0)&gt;0,1,0)),NA())</f>
        <v>#N/A</v>
      </c>
      <c r="AG83" s="84" t="e" cm="1">
        <f t="array" ref="AG83">IFERROR(INDEX($E$55:$E$61,MATCH($C$77,$C$55:$C$61,0),IF(MATCH(AG$77,$F$54:$L$54,0)&gt;0,1,0)),NA())</f>
        <v>#N/A</v>
      </c>
      <c r="AH83" s="84" t="e" cm="1">
        <f t="array" ref="AH83">IFERROR(INDEX($E$55:$E$61,MATCH($C$77,$C$55:$C$61,0),IF(MATCH(AH$77,$F$54:$L$54,0)&gt;0,1,0)),NA())</f>
        <v>#N/A</v>
      </c>
      <c r="AI83" s="84" t="e" cm="1">
        <f t="array" ref="AI83">IFERROR(INDEX($E$55:$E$61,MATCH($C$77,$C$55:$C$61,0),IF(MATCH(AI$77,$F$54:$L$54,0)&gt;0,1,0)),NA())</f>
        <v>#N/A</v>
      </c>
      <c r="AJ83" s="84" t="e" cm="1">
        <f t="array" ref="AJ83">IFERROR(INDEX($E$55:$E$61,MATCH($C$77,$C$55:$C$61,0),IF(MATCH(AJ$77,$F$54:$L$54,0)&gt;0,1,0)),NA())</f>
        <v>#N/A</v>
      </c>
      <c r="AK83" s="84" t="e" cm="1">
        <f t="array" ref="AK83">IFERROR(INDEX($E$55:$E$61,MATCH($C$77,$C$55:$C$61,0),IF(MATCH(AK$77,$F$54:$L$54,0)&gt;0,1,0)),NA())</f>
        <v>#N/A</v>
      </c>
      <c r="AL83" s="84" t="e" cm="1">
        <f t="array" ref="AL83">IFERROR(INDEX($E$55:$E$61,MATCH($C$77,$C$55:$C$61,0),IF(MATCH(AL$77,$F$54:$L$54,0)&gt;0,1,0)),NA())</f>
        <v>#N/A</v>
      </c>
      <c r="AM83" s="84" t="e" cm="1">
        <f t="array" ref="AM83">IFERROR(INDEX($E$55:$E$61,MATCH($C$77,$C$55:$C$61,0),IF(MATCH(AM$77,$F$54:$L$54,0)&gt;0,1,0)),NA())</f>
        <v>#N/A</v>
      </c>
      <c r="AN83" s="84" cm="1">
        <f t="array" aca="1" ref="AN83" ca="1">IFERROR(INDEX($E$55:$E$61,MATCH($C$77,$C$55:$C$61,0),IF(MATCH(AN$77,$F$54:$L$54,0)&gt;0,1,0)),NA())</f>
        <v>34667</v>
      </c>
      <c r="AO83" s="84" cm="1">
        <f t="array" aca="1" ref="AO83" ca="1">IFERROR(INDEX($E$55:$E$61,MATCH($C$77,$C$55:$C$61,0),IF(MATCH(AO$77,$F$54:$L$54,0)&gt;0,1,0)),NA())</f>
        <v>34667</v>
      </c>
      <c r="AP83" s="84" cm="1">
        <f t="array" aca="1" ref="AP83" ca="1">IFERROR(INDEX($E$55:$E$61,MATCH($C$77,$C$55:$C$61,0),IF(MATCH(AP$77,$F$54:$L$54,0)&gt;0,1,0)),NA())</f>
        <v>34667</v>
      </c>
      <c r="AQ83" s="84" cm="1">
        <f t="array" aca="1" ref="AQ83" ca="1">IFERROR(INDEX($E$55:$E$61,MATCH($C$77,$C$55:$C$61,0),IF(MATCH(AQ$77,$F$54:$L$54,0)&gt;0,1,0)),NA())</f>
        <v>34667</v>
      </c>
      <c r="AR83" s="84" cm="1">
        <f t="array" aca="1" ref="AR83" ca="1">IFERROR(INDEX($E$55:$E$61,MATCH($C$77,$C$55:$C$61,0),IF(MATCH(AR$77,$F$54:$L$54,0)&gt;0,1,0)),NA())</f>
        <v>34667</v>
      </c>
      <c r="AS83" s="84" cm="1">
        <f t="array" aca="1" ref="AS83" ca="1">IFERROR(INDEX($E$55:$E$61,MATCH($C$77,$C$55:$C$61,0),IF(MATCH(AS$77,$F$54:$L$54,0)&gt;0,1,0)),NA())</f>
        <v>34667</v>
      </c>
      <c r="AT83" s="84" cm="1">
        <f t="array" aca="1" ref="AT83" ca="1">IFERROR(INDEX($E$55:$E$61,MATCH($C$77,$C$55:$C$61,0),IF(MATCH(AT$77,$F$54:$L$54,0)&gt;0,1,0)),NA())</f>
        <v>34667</v>
      </c>
    </row>
    <row r="84" spans="2:46" s="75" customFormat="1" x14ac:dyDescent="0.25">
      <c r="C84" s="84" t="s">
        <v>107</v>
      </c>
      <c r="D84" s="84"/>
      <c r="E84" s="84"/>
      <c r="F84" s="84"/>
      <c r="G84" s="84" t="str">
        <f>IF(AND(ISERROR(G83)=FALSE,ISERROR(F83)=TRUE),G83,"")</f>
        <v/>
      </c>
      <c r="H84" s="84" t="str">
        <f t="shared" ref="H84:AH84" si="69">IF(AND(ISERROR(H83)=FALSE,ISERROR(G83)=TRUE),H83,"")</f>
        <v/>
      </c>
      <c r="I84" s="84" t="str">
        <f t="shared" si="69"/>
        <v/>
      </c>
      <c r="J84" s="84" t="str">
        <f t="shared" si="69"/>
        <v/>
      </c>
      <c r="K84" s="84" t="str">
        <f t="shared" si="69"/>
        <v/>
      </c>
      <c r="L84" s="84" t="str">
        <f t="shared" si="69"/>
        <v/>
      </c>
      <c r="M84" s="84" t="str">
        <f t="shared" si="69"/>
        <v/>
      </c>
      <c r="N84" s="84" t="str">
        <f t="shared" si="69"/>
        <v/>
      </c>
      <c r="O84" s="84" t="str">
        <f t="shared" si="69"/>
        <v/>
      </c>
      <c r="P84" s="84" t="str">
        <f t="shared" si="69"/>
        <v/>
      </c>
      <c r="Q84" s="84" t="str">
        <f t="shared" si="69"/>
        <v/>
      </c>
      <c r="R84" s="84" t="str">
        <f t="shared" si="69"/>
        <v/>
      </c>
      <c r="S84" s="84" t="str">
        <f t="shared" si="69"/>
        <v/>
      </c>
      <c r="T84" s="84" t="str">
        <f t="shared" si="69"/>
        <v/>
      </c>
      <c r="U84" s="84" t="str">
        <f t="shared" si="69"/>
        <v/>
      </c>
      <c r="V84" s="84" t="str">
        <f t="shared" si="69"/>
        <v/>
      </c>
      <c r="W84" s="84" t="str">
        <f t="shared" si="69"/>
        <v/>
      </c>
      <c r="X84" s="84" t="str">
        <f t="shared" si="69"/>
        <v/>
      </c>
      <c r="Y84" s="84" t="str">
        <f t="shared" si="69"/>
        <v/>
      </c>
      <c r="Z84" s="84" t="str">
        <f t="shared" si="69"/>
        <v/>
      </c>
      <c r="AA84" s="84" t="str">
        <f t="shared" si="69"/>
        <v/>
      </c>
      <c r="AB84" s="84" t="str">
        <f t="shared" si="69"/>
        <v/>
      </c>
      <c r="AC84" s="84" t="str">
        <f t="shared" si="69"/>
        <v/>
      </c>
      <c r="AD84" s="84" t="str">
        <f t="shared" si="69"/>
        <v/>
      </c>
      <c r="AE84" s="84" t="str">
        <f t="shared" si="69"/>
        <v/>
      </c>
      <c r="AF84" s="84" t="str">
        <f t="shared" si="69"/>
        <v/>
      </c>
      <c r="AG84" s="84" t="str">
        <f t="shared" si="69"/>
        <v/>
      </c>
      <c r="AH84" s="84" t="str">
        <f t="shared" si="69"/>
        <v/>
      </c>
      <c r="AI84" s="84" t="str">
        <f t="shared" ref="AI84" si="70">IF(AND(ISERROR(AI83)=FALSE,ISERROR(AH83)=TRUE),AI83,"")</f>
        <v/>
      </c>
      <c r="AJ84" s="84" t="str">
        <f t="shared" ref="AJ84" si="71">IF(AND(ISERROR(AJ83)=FALSE,ISERROR(AI83)=TRUE),AJ83,"")</f>
        <v/>
      </c>
      <c r="AK84" s="84" t="str">
        <f t="shared" ref="AK84" si="72">IF(AND(ISERROR(AK83)=FALSE,ISERROR(AJ83)=TRUE),AK83,"")</f>
        <v/>
      </c>
      <c r="AL84" s="84" t="str">
        <f t="shared" ref="AL84" si="73">IF(AND(ISERROR(AL83)=FALSE,ISERROR(AK83)=TRUE),AL83,"")</f>
        <v/>
      </c>
      <c r="AM84" s="84" t="str">
        <f t="shared" ref="AM84" si="74">IF(AND(ISERROR(AM83)=FALSE,ISERROR(AL83)=TRUE),AM83,"")</f>
        <v/>
      </c>
      <c r="AN84" s="84">
        <f t="shared" ref="AN84" ca="1" si="75">IF(AND(ISERROR(AN83)=FALSE,ISERROR(AM83)=TRUE),AN83,"")</f>
        <v>34667</v>
      </c>
      <c r="AO84" s="84" t="str">
        <f t="shared" ref="AO84" ca="1" si="76">IF(AND(ISERROR(AO83)=FALSE,ISERROR(AN83)=TRUE),AO83,"")</f>
        <v/>
      </c>
      <c r="AP84" s="84" t="str">
        <f t="shared" ref="AP84" ca="1" si="77">IF(AND(ISERROR(AP83)=FALSE,ISERROR(AO83)=TRUE),AP83,"")</f>
        <v/>
      </c>
      <c r="AQ84" s="84" t="str">
        <f t="shared" ref="AQ84" ca="1" si="78">IF(AND(ISERROR(AQ83)=FALSE,ISERROR(AP83)=TRUE),AQ83,"")</f>
        <v/>
      </c>
      <c r="AR84" s="84" t="str">
        <f t="shared" ref="AR84" ca="1" si="79">IF(AND(ISERROR(AR83)=FALSE,ISERROR(AQ83)=TRUE),AR83,"")</f>
        <v/>
      </c>
      <c r="AS84" s="84" t="str">
        <f t="shared" ref="AS84" ca="1" si="80">IF(AND(ISERROR(AS83)=FALSE,ISERROR(AR83)=TRUE),AS83,"")</f>
        <v/>
      </c>
      <c r="AT84" s="84" t="str">
        <f t="shared" ref="AT84" ca="1" si="81">IF(AND(ISERROR(AT83)=FALSE,ISERROR(AS83)=TRUE),AT83,"")</f>
        <v/>
      </c>
    </row>
    <row r="85" spans="2:46" x14ac:dyDescent="0.25">
      <c r="C85" s="75" t="s">
        <v>119</v>
      </c>
      <c r="L85">
        <f>IF(L77&gt;$C$1,NA(),(INDEX(PM_Pop_Data!$3:$9,MATCH(pm_chrt_data!$C$77,PM_Pop_Data!$B$3:$B$9,0),MATCH(pm_chrt_data!L$77,PM_Pop_Data!$2:$2,0))))</f>
        <v>322338</v>
      </c>
      <c r="M85">
        <f>IF(M77&gt;$C$1,NA(),(INDEX(PM_Pop_Data!$3:$9,MATCH(pm_chrt_data!$C$77,PM_Pop_Data!$B$3:$B$9,0),MATCH(pm_chrt_data!M$77,PM_Pop_Data!$2:$2,0))))</f>
        <v>360843</v>
      </c>
      <c r="N85">
        <f>IF(N77&gt;$C$1,NA(),(INDEX(PM_Pop_Data!$3:$9,MATCH(pm_chrt_data!$C$77,PM_Pop_Data!$B$3:$B$9,0),MATCH(pm_chrt_data!N$77,PM_Pop_Data!$2:$2,0))))</f>
        <v>395930</v>
      </c>
      <c r="O85">
        <f>IF(O77&gt;$C$1,NA(),(INDEX(PM_Pop_Data!$3:$9,MATCH(pm_chrt_data!$C$77,PM_Pop_Data!$B$3:$B$9,0),MATCH(pm_chrt_data!O$77,PM_Pop_Data!$2:$2,0))))</f>
        <v>360873</v>
      </c>
      <c r="P85">
        <f>IF(P77&gt;$C$1,NA(),(INDEX(PM_Pop_Data!$3:$9,MATCH(pm_chrt_data!$C$77,PM_Pop_Data!$B$3:$B$9,0),MATCH(pm_chrt_data!P$77,PM_Pop_Data!$2:$2,0))))</f>
        <v>395950</v>
      </c>
      <c r="Q85">
        <f>IF(Q77&gt;$C$1,NA(),(INDEX(PM_Pop_Data!$3:$9,MATCH(pm_chrt_data!$C$77,PM_Pop_Data!$B$3:$B$9,0),MATCH(pm_chrt_data!Q$77,PM_Pop_Data!$2:$2,0))))</f>
        <v>432741</v>
      </c>
      <c r="R85">
        <f>IF(R77&gt;$C$1,NA(),(INDEX(PM_Pop_Data!$3:$9,MATCH(pm_chrt_data!$C$77,PM_Pop_Data!$B$3:$B$9,0),MATCH(pm_chrt_data!R$77,PM_Pop_Data!$2:$2,0))))</f>
        <v>447552</v>
      </c>
      <c r="S85">
        <f>IF(S77&gt;$C$1,NA(),(INDEX(PM_Pop_Data!$3:$9,MATCH(pm_chrt_data!$C$77,PM_Pop_Data!$B$3:$B$9,0),MATCH(pm_chrt_data!S$77,PM_Pop_Data!$2:$2,0))))</f>
        <v>465655</v>
      </c>
      <c r="T85">
        <f>IF(T77&gt;$C$1,NA(),(INDEX(PM_Pop_Data!$3:$9,MATCH(pm_chrt_data!$C$77,PM_Pop_Data!$B$3:$B$9,0),MATCH(pm_chrt_data!T$77,PM_Pop_Data!$2:$2,0))))</f>
        <v>501268</v>
      </c>
      <c r="U85">
        <f>IF(U77&gt;$C$1,NA(),(INDEX(PM_Pop_Data!$3:$9,MATCH(pm_chrt_data!$C$77,PM_Pop_Data!$B$3:$B$9,0),MATCH(pm_chrt_data!U$77,PM_Pop_Data!$2:$2,0))))</f>
        <v>551144</v>
      </c>
      <c r="V85">
        <f>IF(V77&gt;$C$1,NA(),(INDEX(PM_Pop_Data!$3:$9,MATCH(pm_chrt_data!$C$77,PM_Pop_Data!$B$3:$B$9,0),MATCH(pm_chrt_data!V$77,PM_Pop_Data!$2:$2,0))))</f>
        <v>606733</v>
      </c>
      <c r="W85">
        <f>IF(W77&gt;$C$1,NA(),(INDEX(PM_Pop_Data!$3:$9,MATCH(pm_chrt_data!$C$77,PM_Pop_Data!$B$3:$B$9,0),MATCH(pm_chrt_data!W$77,PM_Pop_Data!$2:$2,0))))</f>
        <v>636972</v>
      </c>
      <c r="X85">
        <f>IF(X77&gt;$C$1,NA(),(INDEX(PM_Pop_Data!$3:$9,MATCH(pm_chrt_data!$C$77,PM_Pop_Data!$B$3:$B$9,0),MATCH(pm_chrt_data!X$77,PM_Pop_Data!$2:$2,0))))</f>
        <v>659995</v>
      </c>
      <c r="Y85">
        <f>IF(Y77&gt;$C$1,NA(),(INDEX(PM_Pop_Data!$3:$9,MATCH(pm_chrt_data!$C$77,PM_Pop_Data!$B$3:$B$9,0),MATCH(pm_chrt_data!Y$77,PM_Pop_Data!$2:$2,0))))</f>
        <v>662395</v>
      </c>
      <c r="Z85">
        <f>IF(Z77&gt;$C$1,NA(),(INDEX(PM_Pop_Data!$3:$9,MATCH(pm_chrt_data!$C$77,PM_Pop_Data!$B$3:$B$9,0),MATCH(pm_chrt_data!Z$77,PM_Pop_Data!$2:$2,0))))</f>
        <v>667547</v>
      </c>
      <c r="AA85">
        <f>IF(AA77&gt;$C$1,NA(),(INDEX(PM_Pop_Data!$3:$9,MATCH(pm_chrt_data!$C$77,PM_Pop_Data!$B$3:$B$9,0),MATCH(pm_chrt_data!AA$77,PM_Pop_Data!$2:$2,0))))</f>
        <v>687867</v>
      </c>
      <c r="AB85">
        <f>IF(AB77&gt;$C$1,NA(),(INDEX(PM_Pop_Data!$3:$9,MATCH(pm_chrt_data!$C$77,PM_Pop_Data!$B$3:$B$9,0),MATCH(pm_chrt_data!AB$77,PM_Pop_Data!$2:$2,0))))</f>
        <v>742280</v>
      </c>
      <c r="AC85">
        <f>IF(AC77&gt;$C$1,NA(),(INDEX(PM_Pop_Data!$3:$9,MATCH(pm_chrt_data!$C$77,PM_Pop_Data!$B$3:$B$9,0),MATCH(pm_chrt_data!AC$77,PM_Pop_Data!$2:$2,0))))</f>
        <v>798690</v>
      </c>
      <c r="AD85">
        <f>IF(AD77&gt;$C$1,NA(),(INDEX(PM_Pop_Data!$3:$9,MATCH(pm_chrt_data!$C$77,PM_Pop_Data!$B$3:$B$9,0),MATCH(pm_chrt_data!AD$77,PM_Pop_Data!$2:$2,0))))</f>
        <v>858706</v>
      </c>
      <c r="AE85">
        <f>IF(AE77&gt;$C$1,NA(),(INDEX(PM_Pop_Data!$3:$9,MATCH(pm_chrt_data!$C$77,PM_Pop_Data!$B$3:$B$9,0),MATCH(pm_chrt_data!AE$77,PM_Pop_Data!$2:$2,0))))</f>
        <v>926920</v>
      </c>
      <c r="AF85">
        <f>IF(AF77&gt;$C$1,NA(),(INDEX(PM_Pop_Data!$3:$9,MATCH(pm_chrt_data!$C$77,PM_Pop_Data!$B$3:$B$9,0),MATCH(pm_chrt_data!AF$77,PM_Pop_Data!$2:$2,0))))</f>
        <v>947282</v>
      </c>
      <c r="AG85">
        <f>IF(AG77&gt;$C$1,NA(),(INDEX(PM_Pop_Data!$3:$9,MATCH(pm_chrt_data!$C$77,PM_Pop_Data!$B$3:$B$9,0),MATCH(pm_chrt_data!AG$77,PM_Pop_Data!$2:$2,0))))</f>
        <v>965958</v>
      </c>
      <c r="AH85">
        <f>IF(AH77&gt;$C$1,NA(),(INDEX(PM_Pop_Data!$3:$9,MATCH(pm_chrt_data!$C$77,PM_Pop_Data!$B$3:$B$9,0),MATCH(pm_chrt_data!AH$77,PM_Pop_Data!$2:$2,0))))</f>
        <v>997109</v>
      </c>
      <c r="AI85">
        <f>IF(AI77&gt;$C$1,NA(),(INDEX(PM_Pop_Data!$3:$9,MATCH(pm_chrt_data!$C$77,PM_Pop_Data!$B$3:$B$9,0),MATCH(pm_chrt_data!AI$77,PM_Pop_Data!$2:$2,0))))</f>
        <v>1033151</v>
      </c>
      <c r="AJ85">
        <f>IF(AJ77&gt;$C$1,NA(),(INDEX(PM_Pop_Data!$3:$9,MATCH(pm_chrt_data!$C$77,PM_Pop_Data!$B$3:$B$9,0),MATCH(pm_chrt_data!AJ$77,PM_Pop_Data!$2:$2,0))))</f>
        <v>1081134</v>
      </c>
      <c r="AK85">
        <f>IF(AK77&gt;$C$1,NA(),(INDEX(PM_Pop_Data!$3:$9,MATCH(pm_chrt_data!$C$77,PM_Pop_Data!$B$3:$B$9,0),MATCH(pm_chrt_data!AK$77,PM_Pop_Data!$2:$2,0))))</f>
        <v>1148841</v>
      </c>
      <c r="AL85">
        <f>IF(AL77&gt;$C$1,NA(),(INDEX(PM_Pop_Data!$3:$9,MATCH(pm_chrt_data!$C$77,PM_Pop_Data!$B$3:$B$9,0),MATCH(pm_chrt_data!AL$77,PM_Pop_Data!$2:$2,0))))</f>
        <v>1225767</v>
      </c>
      <c r="AM85">
        <f>IF(AM77&gt;$C$1,NA(),(INDEX(PM_Pop_Data!$3:$9,MATCH(pm_chrt_data!$C$77,PM_Pop_Data!$B$3:$B$9,0),MATCH(pm_chrt_data!AM$77,PM_Pop_Data!$2:$2,0))))</f>
        <v>1253331</v>
      </c>
      <c r="AN85">
        <f>IF(AN77&gt;$C$1,NA(),(INDEX(PM_Pop_Data!$3:$9,MATCH(pm_chrt_data!$C$77,PM_Pop_Data!$B$3:$B$9,0),MATCH(pm_chrt_data!AN$77,PM_Pop_Data!$2:$2,0))))</f>
        <v>1281125</v>
      </c>
      <c r="AO85">
        <f>IF(AO77&gt;$C$1,NA(),(INDEX(PM_Pop_Data!$3:$9,MATCH(pm_chrt_data!$C$77,PM_Pop_Data!$B$3:$B$9,0),MATCH(pm_chrt_data!AO$77,PM_Pop_Data!$2:$2,0))))</f>
        <v>1321661</v>
      </c>
      <c r="AP85">
        <f>IF(AP77&gt;$C$1,NA(),(INDEX(PM_Pop_Data!$3:$9,MATCH(pm_chrt_data!$C$77,PM_Pop_Data!$B$3:$B$9,0),MATCH(pm_chrt_data!AP$77,PM_Pop_Data!$2:$2,0))))</f>
        <v>1370422</v>
      </c>
      <c r="AQ85">
        <f>IF(AQ77&gt;$C$1,NA(),(INDEX(PM_Pop_Data!$3:$9,MATCH(pm_chrt_data!$C$77,PM_Pop_Data!$B$3:$B$9,0),MATCH(pm_chrt_data!AQ$77,PM_Pop_Data!$2:$2,0))))</f>
        <v>1484638</v>
      </c>
      <c r="AR85">
        <f>IF(AR77&gt;$C$1,NA(),(INDEX(PM_Pop_Data!$3:$9,MATCH(pm_chrt_data!$C$77,PM_Pop_Data!$B$3:$B$9,0),MATCH(pm_chrt_data!AR$77,PM_Pop_Data!$2:$2,0))))</f>
        <v>1484638</v>
      </c>
      <c r="AS85">
        <f>IF(AS77&gt;$C$1,NA(),(INDEX(PM_Pop_Data!$3:$9,MATCH(pm_chrt_data!$C$77,PM_Pop_Data!$B$3:$B$9,0),MATCH(pm_chrt_data!AS$77,PM_Pop_Data!$2:$2,0))))</f>
        <v>1568893</v>
      </c>
      <c r="AT85">
        <f>IF(AT77&gt;$C$1,NA(),(INDEX(PM_Pop_Data!$3:$9,MATCH(pm_chrt_data!$C$77,PM_Pop_Data!$B$3:$B$9,0),MATCH(pm_chrt_data!AT$77,PM_Pop_Data!$2:$2,0))))</f>
        <v>1604089</v>
      </c>
    </row>
    <row r="86" spans="2:46" x14ac:dyDescent="0.25">
      <c r="B86" s="15"/>
      <c r="C86" s="75" t="s">
        <v>132</v>
      </c>
      <c r="F86" s="76"/>
      <c r="G86" s="76"/>
      <c r="H86" s="76"/>
      <c r="I86" s="76"/>
      <c r="J86" s="76"/>
      <c r="K86" s="76"/>
      <c r="L86" s="157">
        <f ca="1">IF(L77&gt;$C$1,NA(),(INDEX($11:$17,MATCH(pm_chrt_data!$C$77,$C$11:$C$17,0),MATCH(pm_chrt_data!L$77,$10:$10,0))))</f>
        <v>3704</v>
      </c>
      <c r="M86" s="157">
        <f ca="1">IF(M77&gt;$C$1,NA(),(INDEX($11:$17,MATCH(pm_chrt_data!$C$77,$C$11:$C$17,0),MATCH(pm_chrt_data!M$77,$10:$10,0))))</f>
        <v>5643</v>
      </c>
      <c r="N86" s="157">
        <f ca="1">IF(N77&gt;$C$1,NA(),(INDEX($11:$17,MATCH(pm_chrt_data!$C$77,$C$11:$C$17,0),MATCH(pm_chrt_data!N$77,$10:$10,0))))</f>
        <v>11701</v>
      </c>
      <c r="O86" s="157">
        <f ca="1">IF(O77&gt;$C$1,NA(),(INDEX($11:$17,MATCH(pm_chrt_data!$C$77,$C$11:$C$17,0),MATCH(pm_chrt_data!O$77,$10:$10,0))))</f>
        <v>20310</v>
      </c>
      <c r="P86" s="157">
        <f ca="1">IF(P77&gt;$C$1,NA(),(INDEX($11:$17,MATCH(pm_chrt_data!$C$77,$C$11:$C$17,0),MATCH(pm_chrt_data!P$77,$10:$10,0))))</f>
        <v>32831</v>
      </c>
      <c r="Q86" s="157">
        <f ca="1">IF(Q77&gt;$C$1,NA(),(INDEX($11:$17,MATCH(pm_chrt_data!$C$77,$C$11:$C$17,0),MATCH(pm_chrt_data!Q$77,$10:$10,0))))</f>
        <v>48899</v>
      </c>
      <c r="R86" s="157">
        <f ca="1">IF(R77&gt;$C$1,NA(),(INDEX($11:$17,MATCH(pm_chrt_data!$C$77,$C$11:$C$17,0),MATCH(pm_chrt_data!R$77,$10:$10,0))))</f>
        <v>57085</v>
      </c>
      <c r="S86" s="157">
        <f ca="1">IF(S77&gt;$C$1,NA(),(INDEX($11:$17,MATCH(pm_chrt_data!$C$77,$C$11:$C$17,0),MATCH(pm_chrt_data!S$77,$10:$10,0))))</f>
        <v>68221</v>
      </c>
      <c r="T86" s="157">
        <f ca="1">IF(T77&gt;$C$1,NA(),(INDEX($11:$17,MATCH(pm_chrt_data!$C$77,$C$11:$C$17,0),MATCH(pm_chrt_data!T$77,$10:$10,0))))</f>
        <v>84908</v>
      </c>
      <c r="U86" s="157">
        <f ca="1">IF(U77&gt;$C$1,NA(),(INDEX($11:$17,MATCH(pm_chrt_data!$C$77,$C$11:$C$17,0),MATCH(pm_chrt_data!U$77,$10:$10,0))))</f>
        <v>102076</v>
      </c>
      <c r="V86" s="157">
        <f ca="1">IF(V77&gt;$C$1,NA(),(INDEX($11:$17,MATCH(pm_chrt_data!$C$77,$C$11:$C$17,0),MATCH(pm_chrt_data!V$77,$10:$10,0))))</f>
        <v>125499</v>
      </c>
      <c r="W86" s="157">
        <f ca="1">IF(W77&gt;$C$1,NA(),(INDEX($11:$17,MATCH(pm_chrt_data!$C$77,$C$11:$C$17,0),MATCH(pm_chrt_data!W$77,$10:$10,0))))</f>
        <v>152173</v>
      </c>
      <c r="X86" s="157">
        <f ca="1">IF(X77&gt;$C$1,NA(),(INDEX($11:$17,MATCH(pm_chrt_data!$C$77,$C$11:$C$17,0),MATCH(pm_chrt_data!X$77,$10:$10,0))))</f>
        <v>191591</v>
      </c>
      <c r="Y86" s="157">
        <f ca="1">IF(Y77&gt;$C$1,NA(),(INDEX($11:$17,MATCH(pm_chrt_data!$C$77,$C$11:$C$17,0),MATCH(pm_chrt_data!Y$77,$10:$10,0))))</f>
        <v>207285</v>
      </c>
      <c r="Z86" s="157">
        <f ca="1">IF(Z77&gt;$C$1,NA(),(INDEX($11:$17,MATCH(pm_chrt_data!$C$77,$C$11:$C$17,0),MATCH(pm_chrt_data!Z$77,$10:$10,0))))</f>
        <v>225359</v>
      </c>
      <c r="AA86" s="157">
        <f ca="1">IF(AA77&gt;$C$1,NA(),(INDEX($11:$17,MATCH(pm_chrt_data!$C$77,$C$11:$C$17,0),MATCH(pm_chrt_data!AA$77,$10:$10,0))))</f>
        <v>250829</v>
      </c>
      <c r="AB86" s="157">
        <f ca="1">IF(AB77&gt;$C$1,NA(),(INDEX($11:$17,MATCH(pm_chrt_data!$C$77,$C$11:$C$17,0),MATCH(pm_chrt_data!AB$77,$10:$10,0))))</f>
        <v>277722</v>
      </c>
      <c r="AC86" s="157">
        <f ca="1">IF(AC77&gt;$C$1,NA(),(INDEX($11:$17,MATCH(pm_chrt_data!$C$77,$C$11:$C$17,0),MATCH(pm_chrt_data!AC$77,$10:$10,0))))</f>
        <v>306657</v>
      </c>
      <c r="AD86" s="157">
        <f ca="1">IF(AD77&gt;$C$1,NA(),(INDEX($11:$17,MATCH(pm_chrt_data!$C$77,$C$11:$C$17,0),MATCH(pm_chrt_data!AD$77,$10:$10,0))))</f>
        <v>333960</v>
      </c>
      <c r="AE86" s="157">
        <f ca="1">IF(AE77&gt;$C$1,NA(),(INDEX($11:$17,MATCH(pm_chrt_data!$C$77,$C$11:$C$17,0),MATCH(pm_chrt_data!AE$77,$10:$10,0))))</f>
        <v>375512</v>
      </c>
      <c r="AF86" s="157">
        <f ca="1">IF(AF77&gt;$C$1,NA(),(INDEX($11:$17,MATCH(pm_chrt_data!$C$77,$C$11:$C$17,0),MATCH(pm_chrt_data!AF$77,$10:$10,0))))</f>
        <v>392074</v>
      </c>
      <c r="AG86" s="157">
        <f ca="1">IF(AG77&gt;$C$1,NA(),(INDEX($11:$17,MATCH(pm_chrt_data!$C$77,$C$11:$C$17,0),MATCH(pm_chrt_data!AG$77,$10:$10,0))))</f>
        <v>409275</v>
      </c>
      <c r="AH86" s="157">
        <f ca="1">IF(AH77&gt;$C$1,NA(),(INDEX($11:$17,MATCH(pm_chrt_data!$C$77,$C$11:$C$17,0),MATCH(pm_chrt_data!AH$77,$10:$10,0))))</f>
        <v>437518</v>
      </c>
      <c r="AI86" s="157">
        <f ca="1">IF(AI77&gt;$C$1,NA(),(INDEX($11:$17,MATCH(pm_chrt_data!$C$77,$C$11:$C$17,0),MATCH(pm_chrt_data!AI$77,$10:$10,0))))</f>
        <v>467251</v>
      </c>
      <c r="AJ86" s="157">
        <f ca="1">IF(AJ77&gt;$C$1,NA(),(INDEX($11:$17,MATCH(pm_chrt_data!$C$77,$C$11:$C$17,0),MATCH(pm_chrt_data!AJ$77,$10:$10,0))))</f>
        <v>501670</v>
      </c>
      <c r="AK86" s="157">
        <f ca="1">IF(AK77&gt;$C$1,NA(),(INDEX($11:$17,MATCH(pm_chrt_data!$C$77,$C$11:$C$17,0),MATCH(pm_chrt_data!AK$77,$10:$10,0))))</f>
        <v>530600</v>
      </c>
      <c r="AL86" s="157">
        <f ca="1">IF(AL77&gt;$C$1,NA(),(INDEX($11:$17,MATCH(pm_chrt_data!$C$77,$C$11:$C$17,0),MATCH(pm_chrt_data!AL$77,$10:$10,0))))</f>
        <v>580517</v>
      </c>
      <c r="AM86" s="157">
        <f ca="1">IF(AM77&gt;$C$1,NA(),(INDEX($11:$17,MATCH(pm_chrt_data!$C$77,$C$11:$C$17,0),MATCH(pm_chrt_data!AM$77,$10:$10,0))))</f>
        <v>599576</v>
      </c>
      <c r="AN86" s="157">
        <f ca="1">IF(AN77&gt;$C$1,NA(),(INDEX($11:$17,MATCH(pm_chrt_data!$C$77,$C$11:$C$17,0),MATCH(pm_chrt_data!AN$77,$10:$10,0))))</f>
        <v>621531</v>
      </c>
      <c r="AO86" s="157">
        <f ca="1">IF(AO77&gt;$C$1,NA(),(INDEX($11:$17,MATCH(pm_chrt_data!$C$77,$C$11:$C$17,0),MATCH(pm_chrt_data!AO$77,$10:$10,0))))</f>
        <v>654481</v>
      </c>
      <c r="AP86" s="157">
        <f ca="1">IF(AP77&gt;$C$1,NA(),(INDEX($11:$17,MATCH(pm_chrt_data!$C$77,$C$11:$C$17,0),MATCH(pm_chrt_data!AP$77,$10:$10,0))))</f>
        <v>688680</v>
      </c>
      <c r="AQ86" s="157">
        <f ca="1">IF(AQ77&gt;$C$1,NA(),(INDEX($11:$17,MATCH(pm_chrt_data!$C$77,$C$11:$C$17,0),MATCH(pm_chrt_data!AQ$77,$10:$10,0))))</f>
        <v>728104</v>
      </c>
      <c r="AR86" s="157">
        <f ca="1">IF(AR77&gt;$C$1,NA(),(INDEX($11:$17,MATCH(pm_chrt_data!$C$77,$C$11:$C$17,0),MATCH(pm_chrt_data!AR$77,$10:$10,0))))</f>
        <v>766555</v>
      </c>
      <c r="AS86" s="157">
        <f ca="1">IF(AS77&gt;$C$1,NA(),(INDEX($11:$17,MATCH(pm_chrt_data!$C$77,$C$11:$C$17,0),MATCH(pm_chrt_data!AS$77,$10:$10,0))))</f>
        <v>820933</v>
      </c>
      <c r="AT86" s="157">
        <f ca="1">IF(AT77&gt;$C$1,NA(),(INDEX($11:$17,MATCH(pm_chrt_data!$C$77,$C$11:$C$17,0),MATCH(pm_chrt_data!AT$77,$10:$10,0))))</f>
        <v>842245</v>
      </c>
    </row>
    <row r="87" spans="2:46" x14ac:dyDescent="0.25">
      <c r="B87" s="15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</row>
    <row r="88" spans="2:46" s="75" customFormat="1" x14ac:dyDescent="0.25"/>
    <row r="89" spans="2:46" s="75" customFormat="1" x14ac:dyDescent="0.25"/>
    <row r="90" spans="2:46" s="75" customFormat="1" x14ac:dyDescent="0.25"/>
    <row r="91" spans="2:46" s="75" customFormat="1" x14ac:dyDescent="0.25"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</row>
    <row r="92" spans="2:46" s="75" customFormat="1" x14ac:dyDescent="0.25"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</row>
    <row r="97" spans="2:9" x14ac:dyDescent="0.25">
      <c r="B97" t="s">
        <v>116</v>
      </c>
      <c r="D97" t="s">
        <v>15</v>
      </c>
      <c r="E97" t="str">
        <f>TEXT(pm_chrt_data!C4,"0%")&amp;" penetration target"</f>
        <v>100% penetration target</v>
      </c>
      <c r="G97" t="str">
        <f>"1st Dose Vaccinated 
as of "&amp;TEXT(C1,"dd-mmm")</f>
        <v>1st Dose Vaccinated 
as of 24-Oct</v>
      </c>
      <c r="I97" t="str">
        <f>"Penetration
as of "&amp;TEXT(C1,"dd-mmm")</f>
        <v>Penetration
as of 24-Oct</v>
      </c>
    </row>
    <row r="98" spans="2:9" x14ac:dyDescent="0.25">
      <c r="B98">
        <f ca="1">RANK($I98,$I$98:$I$104,0)</f>
        <v>1</v>
      </c>
      <c r="C98" t="s">
        <v>14</v>
      </c>
      <c r="D98">
        <f>INDEX(PM_Pop_Data!9:9,MATCH(pm_chrt_data!$C$1,PM_Pop_Data!2:2,0))</f>
        <v>1604089</v>
      </c>
      <c r="E98">
        <f>ROUNDUP(D98*C4,0)</f>
        <v>1604089</v>
      </c>
      <c r="G98" cm="1">
        <f t="array" aca="1" ref="G98" ca="1">SUMIFS(OFFSET(pm_c_1_Val,0,MATCH(pm_chrt_data!$C$1,pm_c_3_Col,0)-1,COUNTA(pm_c_2_Row),1),pm_c_2_Row_Region,$C98)/2</f>
        <v>842245</v>
      </c>
      <c r="I98" s="3">
        <f t="shared" ref="I98" ca="1" si="82">G98/D98</f>
        <v>0.52506126530385788</v>
      </c>
    </row>
    <row r="99" spans="2:9" x14ac:dyDescent="0.25">
      <c r="B99" t="e">
        <f t="shared" ref="B99:B104" ca="1" si="83">RANK($I99,$I$98:$I$104,0)</f>
        <v>#N/A</v>
      </c>
      <c r="C99" t="s">
        <v>87</v>
      </c>
    </row>
    <row r="100" spans="2:9" x14ac:dyDescent="0.25">
      <c r="B100" t="e">
        <f t="shared" ca="1" si="83"/>
        <v>#N/A</v>
      </c>
      <c r="C100" t="s">
        <v>88</v>
      </c>
    </row>
    <row r="101" spans="2:9" x14ac:dyDescent="0.25">
      <c r="B101" t="e">
        <f t="shared" ca="1" si="83"/>
        <v>#N/A</v>
      </c>
      <c r="C101" t="s">
        <v>89</v>
      </c>
    </row>
    <row r="102" spans="2:9" x14ac:dyDescent="0.25">
      <c r="B102" t="e">
        <f t="shared" ca="1" si="83"/>
        <v>#N/A</v>
      </c>
      <c r="C102" t="s">
        <v>90</v>
      </c>
    </row>
    <row r="103" spans="2:9" x14ac:dyDescent="0.25">
      <c r="B103" t="e">
        <f t="shared" ca="1" si="83"/>
        <v>#N/A</v>
      </c>
      <c r="C103" t="s">
        <v>91</v>
      </c>
    </row>
    <row r="104" spans="2:9" x14ac:dyDescent="0.25">
      <c r="B104" t="e">
        <f t="shared" ca="1" si="83"/>
        <v>#N/A</v>
      </c>
      <c r="C104" t="s">
        <v>92</v>
      </c>
    </row>
    <row r="105" spans="2:9" x14ac:dyDescent="0.25">
      <c r="C105" t="s">
        <v>76</v>
      </c>
    </row>
    <row r="107" spans="2:9" x14ac:dyDescent="0.25">
      <c r="C107" t="s">
        <v>55</v>
      </c>
      <c r="D107">
        <f>SUM(D98:D105)</f>
        <v>1604089</v>
      </c>
      <c r="E107">
        <f t="shared" ref="E107" si="84">ROUNDUP(D107*0.75,0)</f>
        <v>1203067</v>
      </c>
      <c r="G107">
        <f ca="1">SUM(G98:G105)</f>
        <v>842245</v>
      </c>
      <c r="I107">
        <f t="shared" ref="I107" ca="1" si="85">G107/D107</f>
        <v>0.52506126530385788</v>
      </c>
    </row>
    <row r="108" spans="2:9" x14ac:dyDescent="0.25">
      <c r="B108">
        <v>1</v>
      </c>
      <c r="C108" t="str">
        <f t="shared" ref="C108:C114" ca="1" si="86">B108&amp;" : "&amp;INDEX(C$98:C$104,MATCH($B108,$B$98:$B$104,0))</f>
        <v>1 : South East</v>
      </c>
      <c r="D108">
        <f t="shared" ref="D108:E114" ca="1" si="87">INDEX(D$98:D$104,MATCH($B108,$B$98:$B$104,0))</f>
        <v>1604089</v>
      </c>
      <c r="E108">
        <f t="shared" ca="1" si="87"/>
        <v>1604089</v>
      </c>
      <c r="G108">
        <f t="shared" ref="G108:G114" ca="1" si="88">INDEX(G$98:G$104,MATCH($B108,$B$98:$B$104,0))</f>
        <v>842245</v>
      </c>
      <c r="I108">
        <f t="shared" ref="I108:I114" ca="1" si="89">INDEX(I$98:I$104,MATCH($B108,$B$98:$B$104,0))</f>
        <v>0.52506126530385788</v>
      </c>
    </row>
    <row r="109" spans="2:9" x14ac:dyDescent="0.25">
      <c r="B109">
        <v>2</v>
      </c>
      <c r="C109" t="e">
        <f t="shared" ca="1" si="86"/>
        <v>#N/A</v>
      </c>
      <c r="D109" t="e">
        <f t="shared" ca="1" si="87"/>
        <v>#N/A</v>
      </c>
      <c r="E109" t="e">
        <f t="shared" ca="1" si="87"/>
        <v>#N/A</v>
      </c>
      <c r="G109" t="e">
        <f t="shared" ca="1" si="88"/>
        <v>#N/A</v>
      </c>
      <c r="I109" t="e">
        <f t="shared" ca="1" si="89"/>
        <v>#N/A</v>
      </c>
    </row>
    <row r="110" spans="2:9" x14ac:dyDescent="0.25">
      <c r="B110">
        <v>3</v>
      </c>
      <c r="C110" t="e">
        <f t="shared" ca="1" si="86"/>
        <v>#N/A</v>
      </c>
      <c r="D110" t="e">
        <f t="shared" ca="1" si="87"/>
        <v>#N/A</v>
      </c>
      <c r="E110" t="e">
        <f t="shared" ca="1" si="87"/>
        <v>#N/A</v>
      </c>
      <c r="G110" t="e">
        <f t="shared" ca="1" si="88"/>
        <v>#N/A</v>
      </c>
      <c r="I110" t="e">
        <f t="shared" ca="1" si="89"/>
        <v>#N/A</v>
      </c>
    </row>
    <row r="111" spans="2:9" x14ac:dyDescent="0.25">
      <c r="B111">
        <v>4</v>
      </c>
      <c r="C111" t="e">
        <f t="shared" ca="1" si="86"/>
        <v>#N/A</v>
      </c>
      <c r="D111" t="e">
        <f t="shared" ca="1" si="87"/>
        <v>#N/A</v>
      </c>
      <c r="E111" t="e">
        <f t="shared" ca="1" si="87"/>
        <v>#N/A</v>
      </c>
      <c r="G111" t="e">
        <f t="shared" ca="1" si="88"/>
        <v>#N/A</v>
      </c>
      <c r="I111" t="e">
        <f t="shared" ca="1" si="89"/>
        <v>#N/A</v>
      </c>
    </row>
    <row r="112" spans="2:9" x14ac:dyDescent="0.25">
      <c r="B112">
        <v>5</v>
      </c>
      <c r="C112" t="e">
        <f t="shared" ca="1" si="86"/>
        <v>#N/A</v>
      </c>
      <c r="D112" t="e">
        <f t="shared" ca="1" si="87"/>
        <v>#N/A</v>
      </c>
      <c r="E112" t="e">
        <f t="shared" ca="1" si="87"/>
        <v>#N/A</v>
      </c>
      <c r="G112" t="e">
        <f t="shared" ca="1" si="88"/>
        <v>#N/A</v>
      </c>
      <c r="I112" t="e">
        <f t="shared" ca="1" si="89"/>
        <v>#N/A</v>
      </c>
    </row>
    <row r="113" spans="2:73" x14ac:dyDescent="0.25">
      <c r="B113">
        <v>6</v>
      </c>
      <c r="C113" t="e">
        <f t="shared" ca="1" si="86"/>
        <v>#N/A</v>
      </c>
      <c r="D113" t="e">
        <f t="shared" ca="1" si="87"/>
        <v>#N/A</v>
      </c>
      <c r="E113" t="e">
        <f t="shared" ca="1" si="87"/>
        <v>#N/A</v>
      </c>
      <c r="G113" t="e">
        <f t="shared" ca="1" si="88"/>
        <v>#N/A</v>
      </c>
      <c r="I113" t="e">
        <f t="shared" ca="1" si="89"/>
        <v>#N/A</v>
      </c>
    </row>
    <row r="114" spans="2:73" x14ac:dyDescent="0.25">
      <c r="B114">
        <v>7</v>
      </c>
      <c r="C114" t="e">
        <f t="shared" ca="1" si="86"/>
        <v>#N/A</v>
      </c>
      <c r="D114" t="e">
        <f t="shared" ca="1" si="87"/>
        <v>#N/A</v>
      </c>
      <c r="E114" t="e">
        <f t="shared" ca="1" si="87"/>
        <v>#N/A</v>
      </c>
      <c r="G114" t="e">
        <f t="shared" ca="1" si="88"/>
        <v>#N/A</v>
      </c>
      <c r="I114" t="e">
        <f t="shared" ca="1" si="89"/>
        <v>#N/A</v>
      </c>
    </row>
    <row r="126" spans="2:73" x14ac:dyDescent="0.25"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/>
      <c r="BH126" s="80"/>
      <c r="BI126" s="80"/>
      <c r="BJ126" s="80"/>
      <c r="BK126" s="80"/>
      <c r="BL126" s="80"/>
      <c r="BM126" s="80"/>
      <c r="BN126" s="80"/>
      <c r="BO126" s="80"/>
      <c r="BP126" s="80"/>
      <c r="BQ126" s="80"/>
      <c r="BR126" s="80"/>
      <c r="BS126" s="80"/>
      <c r="BT126" s="80"/>
      <c r="BU126" s="80"/>
    </row>
    <row r="127" spans="2:73" x14ac:dyDescent="0.25">
      <c r="M127" s="1"/>
      <c r="N127" s="1"/>
      <c r="O127" s="1"/>
      <c r="P127" s="1"/>
      <c r="Q127" s="1"/>
    </row>
    <row r="128" spans="2:73" x14ac:dyDescent="0.25">
      <c r="M128" s="1"/>
      <c r="N128" s="1"/>
      <c r="O128" s="1"/>
      <c r="P128" s="1"/>
      <c r="Q128" s="1"/>
    </row>
    <row r="129" spans="13:17" x14ac:dyDescent="0.25">
      <c r="M129" s="1"/>
      <c r="N129" s="1"/>
      <c r="O129" s="1"/>
      <c r="P129" s="1"/>
      <c r="Q129" s="1"/>
    </row>
    <row r="130" spans="13:17" x14ac:dyDescent="0.25">
      <c r="M130" s="1"/>
      <c r="N130" s="1"/>
      <c r="O130" s="1"/>
      <c r="P130" s="1"/>
      <c r="Q130" s="1"/>
    </row>
    <row r="131" spans="13:17" x14ac:dyDescent="0.25">
      <c r="M131" s="1"/>
      <c r="N131" s="1"/>
      <c r="O131" s="1"/>
      <c r="P131" s="1"/>
      <c r="Q131" s="1"/>
    </row>
    <row r="132" spans="13:17" x14ac:dyDescent="0.25">
      <c r="M132" s="1"/>
      <c r="N132" s="1"/>
      <c r="O132" s="1"/>
      <c r="P132" s="1"/>
      <c r="Q132" s="1"/>
    </row>
    <row r="133" spans="13:17" x14ac:dyDescent="0.25">
      <c r="M133" s="1"/>
      <c r="N133" s="1"/>
      <c r="O133" s="1"/>
      <c r="P133" s="1"/>
      <c r="Q133" s="1"/>
    </row>
    <row r="134" spans="13:17" x14ac:dyDescent="0.25">
      <c r="M134" s="1"/>
      <c r="N134" s="1"/>
      <c r="O134" s="1"/>
      <c r="P134" s="1"/>
      <c r="Q134" s="1"/>
    </row>
    <row r="135" spans="13:17" x14ac:dyDescent="0.25">
      <c r="M135" s="1"/>
      <c r="N135" s="1"/>
      <c r="O135" s="1"/>
      <c r="P135" s="1"/>
      <c r="Q135" s="1"/>
    </row>
    <row r="136" spans="13:17" x14ac:dyDescent="0.25">
      <c r="M136" s="1"/>
      <c r="N136" s="1"/>
      <c r="O136" s="1"/>
      <c r="P136" s="1"/>
      <c r="Q136" s="1"/>
    </row>
    <row r="137" spans="13:17" x14ac:dyDescent="0.25">
      <c r="M137" s="1"/>
      <c r="N137" s="1"/>
      <c r="O137" s="1"/>
      <c r="P137" s="1"/>
      <c r="Q137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CC5F1-7A2E-46AB-9499-86421124F39C}">
  <sheetPr codeName="Sheet1">
    <tabColor theme="1"/>
  </sheetPr>
  <dimension ref="B1:P60"/>
  <sheetViews>
    <sheetView zoomScale="70" zoomScaleNormal="70" workbookViewId="0">
      <selection activeCell="C3" sqref="C3"/>
    </sheetView>
  </sheetViews>
  <sheetFormatPr defaultRowHeight="15" x14ac:dyDescent="0.25"/>
  <cols>
    <col min="2" max="2" width="72.28515625" style="18" customWidth="1"/>
    <col min="3" max="3" width="52" customWidth="1"/>
    <col min="4" max="4" width="21" customWidth="1"/>
    <col min="5" max="5" width="43.140625" style="7" customWidth="1"/>
    <col min="6" max="6" width="33.140625" customWidth="1"/>
    <col min="7" max="7" width="38.28515625" customWidth="1"/>
    <col min="12" max="12" width="57.5703125" customWidth="1"/>
    <col min="13" max="13" width="16.85546875" bestFit="1" customWidth="1"/>
    <col min="14" max="14" width="15.7109375" bestFit="1" customWidth="1"/>
    <col min="15" max="15" width="20.5703125" bestFit="1" customWidth="1"/>
  </cols>
  <sheetData>
    <row r="1" spans="2:13" ht="21" x14ac:dyDescent="0.35">
      <c r="B1" s="58" t="s">
        <v>61</v>
      </c>
      <c r="E1" s="7" t="s">
        <v>15</v>
      </c>
      <c r="F1" s="7" t="s">
        <v>15</v>
      </c>
      <c r="L1" t="s">
        <v>77</v>
      </c>
      <c r="M1" t="s">
        <v>78</v>
      </c>
    </row>
    <row r="2" spans="2:13" x14ac:dyDescent="0.25">
      <c r="B2" s="18" t="s">
        <v>24</v>
      </c>
      <c r="C2" t="s">
        <v>0</v>
      </c>
      <c r="D2" t="s">
        <v>1</v>
      </c>
      <c r="E2" s="73" t="s">
        <v>79</v>
      </c>
      <c r="F2" s="73" t="s">
        <v>80</v>
      </c>
      <c r="L2" s="72" t="str">
        <f>B3</f>
        <v>Population minus those in cohorts 1-6 (Regional Calculation)</v>
      </c>
      <c r="M2" s="4" t="s">
        <v>79</v>
      </c>
    </row>
    <row r="3" spans="2:13" x14ac:dyDescent="0.25">
      <c r="B3" s="19" t="s">
        <v>25</v>
      </c>
      <c r="C3" t="s">
        <v>2</v>
      </c>
      <c r="D3" t="s">
        <v>3</v>
      </c>
      <c r="E3" s="7">
        <v>16607</v>
      </c>
      <c r="F3" s="7"/>
      <c r="L3" s="72" t="str">
        <f>B10</f>
        <v>MPI denominators from Foundry Report</v>
      </c>
      <c r="M3" s="4" t="s">
        <v>80</v>
      </c>
    </row>
    <row r="4" spans="2:13" x14ac:dyDescent="0.25">
      <c r="B4" s="19" t="s">
        <v>25</v>
      </c>
      <c r="C4" t="s">
        <v>4</v>
      </c>
      <c r="D4" t="s">
        <v>5</v>
      </c>
      <c r="E4" s="7">
        <v>32303</v>
      </c>
      <c r="F4" s="7"/>
      <c r="L4" s="72" t="str">
        <f>B17</f>
        <v>National STP ICS (PM Briefing) Report</v>
      </c>
    </row>
    <row r="5" spans="2:13" x14ac:dyDescent="0.25">
      <c r="B5" s="19" t="s">
        <v>25</v>
      </c>
      <c r="C5" t="s">
        <v>6</v>
      </c>
      <c r="D5" t="s">
        <v>7</v>
      </c>
      <c r="E5" s="7">
        <v>35249</v>
      </c>
      <c r="F5" s="7"/>
    </row>
    <row r="6" spans="2:13" x14ac:dyDescent="0.25">
      <c r="B6" s="19" t="s">
        <v>25</v>
      </c>
      <c r="C6" t="s">
        <v>8</v>
      </c>
      <c r="D6" t="s">
        <v>9</v>
      </c>
      <c r="E6" s="7">
        <v>22626</v>
      </c>
      <c r="F6" s="7"/>
    </row>
    <row r="7" spans="2:13" x14ac:dyDescent="0.25">
      <c r="B7" s="19" t="s">
        <v>25</v>
      </c>
      <c r="C7" t="s">
        <v>10</v>
      </c>
      <c r="D7" t="s">
        <v>11</v>
      </c>
      <c r="E7" s="7">
        <v>36569</v>
      </c>
      <c r="F7" s="7"/>
    </row>
    <row r="8" spans="2:13" x14ac:dyDescent="0.25">
      <c r="B8" s="19" t="s">
        <v>25</v>
      </c>
      <c r="C8" t="s">
        <v>12</v>
      </c>
      <c r="D8" t="s">
        <v>13</v>
      </c>
      <c r="E8" s="7">
        <v>39642</v>
      </c>
      <c r="F8" s="7"/>
    </row>
    <row r="9" spans="2:13" x14ac:dyDescent="0.25">
      <c r="B9" s="19" t="s">
        <v>25</v>
      </c>
      <c r="C9" s="2" t="s">
        <v>14</v>
      </c>
      <c r="D9" s="2" t="s">
        <v>17</v>
      </c>
      <c r="E9" s="8">
        <f>SUM(E3:E8)</f>
        <v>182996</v>
      </c>
      <c r="F9" s="7"/>
    </row>
    <row r="10" spans="2:13" x14ac:dyDescent="0.25">
      <c r="B10" s="19" t="s">
        <v>70</v>
      </c>
      <c r="C10" t="s">
        <v>2</v>
      </c>
      <c r="D10" t="s">
        <v>3</v>
      </c>
      <c r="E10" s="7">
        <f>INDEX($H$48:$H$53,MATCH(Table1[[#This Row],[STP]],$B$48:$B$53,0))</f>
        <v>18366</v>
      </c>
      <c r="F10" s="7">
        <f>INDEX($I$48:$I$53,MATCH(Table1[[#This Row],[STP]],$B$48:$B$53,0))</f>
        <v>19508</v>
      </c>
    </row>
    <row r="11" spans="2:13" x14ac:dyDescent="0.25">
      <c r="B11" s="19" t="s">
        <v>70</v>
      </c>
      <c r="C11" t="s">
        <v>4</v>
      </c>
      <c r="D11" t="s">
        <v>5</v>
      </c>
      <c r="E11" s="7">
        <f>INDEX($H$48:$H$53,MATCH(Table1[[#This Row],[STP]],$B$48:$B$53,0))</f>
        <v>35762</v>
      </c>
      <c r="F11" s="7">
        <f>INDEX($I$48:$I$53,MATCH(Table1[[#This Row],[STP]],$B$48:$B$53,0))</f>
        <v>38417</v>
      </c>
    </row>
    <row r="12" spans="2:13" x14ac:dyDescent="0.25">
      <c r="B12" s="19" t="s">
        <v>70</v>
      </c>
      <c r="C12" t="s">
        <v>6</v>
      </c>
      <c r="D12" t="s">
        <v>7</v>
      </c>
      <c r="E12" s="7">
        <f>INDEX($H$48:$H$53,MATCH(Table1[[#This Row],[STP]],$B$48:$B$53,0))</f>
        <v>36759</v>
      </c>
      <c r="F12" s="7">
        <f>INDEX($I$48:$I$53,MATCH(Table1[[#This Row],[STP]],$B$48:$B$53,0))</f>
        <v>39372</v>
      </c>
    </row>
    <row r="13" spans="2:13" x14ac:dyDescent="0.25">
      <c r="B13" s="19" t="s">
        <v>70</v>
      </c>
      <c r="C13" t="s">
        <v>8</v>
      </c>
      <c r="D13" t="s">
        <v>9</v>
      </c>
      <c r="E13" s="7">
        <f>INDEX($H$48:$H$53,MATCH(Table1[[#This Row],[STP]],$B$48:$B$53,0))</f>
        <v>25118</v>
      </c>
      <c r="F13" s="7">
        <f>INDEX($I$48:$I$53,MATCH(Table1[[#This Row],[STP]],$B$48:$B$53,0))</f>
        <v>26639</v>
      </c>
    </row>
    <row r="14" spans="2:13" x14ac:dyDescent="0.25">
      <c r="B14" s="19" t="s">
        <v>70</v>
      </c>
      <c r="C14" t="s">
        <v>10</v>
      </c>
      <c r="D14" t="s">
        <v>11</v>
      </c>
      <c r="E14" s="7">
        <f>INDEX($H$48:$H$53,MATCH(Table1[[#This Row],[STP]],$B$48:$B$53,0))</f>
        <v>42089</v>
      </c>
      <c r="F14" s="7">
        <f>INDEX($I$48:$I$53,MATCH(Table1[[#This Row],[STP]],$B$48:$B$53,0))</f>
        <v>44675</v>
      </c>
    </row>
    <row r="15" spans="2:13" x14ac:dyDescent="0.25">
      <c r="B15" s="19" t="s">
        <v>70</v>
      </c>
      <c r="C15" t="s">
        <v>12</v>
      </c>
      <c r="D15" t="s">
        <v>13</v>
      </c>
      <c r="E15" s="7">
        <f>INDEX($H$48:$H$53,MATCH(Table1[[#This Row],[STP]],$B$48:$B$53,0))</f>
        <v>42993</v>
      </c>
      <c r="F15" s="7">
        <f>INDEX($I$48:$I$53,MATCH(Table1[[#This Row],[STP]],$B$48:$B$53,0))</f>
        <v>45720</v>
      </c>
    </row>
    <row r="16" spans="2:13" x14ac:dyDescent="0.25">
      <c r="B16" s="19" t="s">
        <v>70</v>
      </c>
      <c r="C16" s="2" t="s">
        <v>14</v>
      </c>
      <c r="D16" s="2" t="s">
        <v>17</v>
      </c>
      <c r="E16" s="8">
        <f>SUM(E10:E15)</f>
        <v>201087</v>
      </c>
      <c r="F16" s="8">
        <f>SUM(F10:F15)</f>
        <v>214331</v>
      </c>
    </row>
    <row r="17" spans="2:15" x14ac:dyDescent="0.25">
      <c r="B17" s="19" t="s">
        <v>84</v>
      </c>
      <c r="C17" t="s">
        <v>2</v>
      </c>
      <c r="D17" t="s">
        <v>3</v>
      </c>
      <c r="F17" s="7">
        <v>17693</v>
      </c>
    </row>
    <row r="18" spans="2:15" x14ac:dyDescent="0.25">
      <c r="B18" s="19" t="s">
        <v>84</v>
      </c>
      <c r="C18" t="s">
        <v>4</v>
      </c>
      <c r="D18" t="s">
        <v>5</v>
      </c>
      <c r="F18" s="7">
        <v>34766</v>
      </c>
      <c r="L18" t="s">
        <v>47</v>
      </c>
    </row>
    <row r="19" spans="2:15" x14ac:dyDescent="0.25">
      <c r="B19" s="19" t="s">
        <v>84</v>
      </c>
      <c r="C19" t="s">
        <v>6</v>
      </c>
      <c r="D19" t="s">
        <v>7</v>
      </c>
      <c r="F19" s="7">
        <v>37687</v>
      </c>
      <c r="L19" t="s">
        <v>27</v>
      </c>
      <c r="M19" t="s">
        <v>28</v>
      </c>
      <c r="N19" t="s">
        <v>29</v>
      </c>
      <c r="O19" t="s">
        <v>30</v>
      </c>
    </row>
    <row r="20" spans="2:15" x14ac:dyDescent="0.25">
      <c r="B20" s="19" t="s">
        <v>84</v>
      </c>
      <c r="C20" t="s">
        <v>8</v>
      </c>
      <c r="D20" t="s">
        <v>9</v>
      </c>
      <c r="F20" s="7">
        <v>24066</v>
      </c>
      <c r="L20" t="s">
        <v>11</v>
      </c>
      <c r="M20" t="s">
        <v>31</v>
      </c>
      <c r="N20" t="s">
        <v>32</v>
      </c>
      <c r="O20" s="75">
        <v>16607</v>
      </c>
    </row>
    <row r="21" spans="2:15" x14ac:dyDescent="0.25">
      <c r="B21" s="19" t="s">
        <v>84</v>
      </c>
      <c r="C21" t="s">
        <v>10</v>
      </c>
      <c r="D21" t="s">
        <v>11</v>
      </c>
      <c r="F21" s="7">
        <v>38929</v>
      </c>
      <c r="L21" t="s">
        <v>3</v>
      </c>
      <c r="M21" t="s">
        <v>33</v>
      </c>
      <c r="N21" t="s">
        <v>34</v>
      </c>
      <c r="O21" s="75">
        <v>32303</v>
      </c>
    </row>
    <row r="22" spans="2:15" x14ac:dyDescent="0.25">
      <c r="B22" s="19" t="s">
        <v>84</v>
      </c>
      <c r="C22" t="s">
        <v>12</v>
      </c>
      <c r="D22" t="s">
        <v>13</v>
      </c>
      <c r="F22" s="7">
        <v>42165</v>
      </c>
      <c r="L22" t="s">
        <v>7</v>
      </c>
      <c r="M22" t="s">
        <v>35</v>
      </c>
      <c r="N22" t="s">
        <v>36</v>
      </c>
      <c r="O22" s="75">
        <v>35249</v>
      </c>
    </row>
    <row r="23" spans="2:15" x14ac:dyDescent="0.25">
      <c r="B23" s="19" t="s">
        <v>84</v>
      </c>
      <c r="C23" s="2" t="s">
        <v>14</v>
      </c>
      <c r="D23" s="2" t="s">
        <v>17</v>
      </c>
      <c r="F23" s="8">
        <v>195306</v>
      </c>
      <c r="L23" t="s">
        <v>13</v>
      </c>
      <c r="M23" t="s">
        <v>37</v>
      </c>
      <c r="N23" t="s">
        <v>38</v>
      </c>
      <c r="O23" s="75">
        <v>22626</v>
      </c>
    </row>
    <row r="24" spans="2:15" x14ac:dyDescent="0.25">
      <c r="L24" t="s">
        <v>9</v>
      </c>
      <c r="M24" t="s">
        <v>39</v>
      </c>
      <c r="N24" t="s">
        <v>40</v>
      </c>
      <c r="O24" s="75">
        <v>36569</v>
      </c>
    </row>
    <row r="25" spans="2:15" x14ac:dyDescent="0.25">
      <c r="L25" t="s">
        <v>5</v>
      </c>
      <c r="M25" t="s">
        <v>41</v>
      </c>
      <c r="N25" t="s">
        <v>42</v>
      </c>
      <c r="O25" s="75">
        <v>39642</v>
      </c>
    </row>
    <row r="26" spans="2:15" x14ac:dyDescent="0.25">
      <c r="L26" t="s">
        <v>43</v>
      </c>
      <c r="M26" t="s">
        <v>44</v>
      </c>
      <c r="N26" t="s">
        <v>45</v>
      </c>
      <c r="O26" s="75">
        <v>182996</v>
      </c>
    </row>
    <row r="27" spans="2:15" x14ac:dyDescent="0.25">
      <c r="L27" s="20" t="s">
        <v>46</v>
      </c>
    </row>
    <row r="33" spans="2:16" x14ac:dyDescent="0.25">
      <c r="L33" t="s">
        <v>60</v>
      </c>
    </row>
    <row r="34" spans="2:16" ht="15.75" thickBot="1" x14ac:dyDescent="0.3"/>
    <row r="35" spans="2:16" ht="15.75" thickBot="1" x14ac:dyDescent="0.3">
      <c r="L35" s="21"/>
      <c r="N35" s="55" t="s">
        <v>55</v>
      </c>
      <c r="O35" s="56"/>
      <c r="P35" s="57"/>
    </row>
    <row r="36" spans="2:16" ht="105.75" thickBot="1" x14ac:dyDescent="0.3">
      <c r="M36" s="22" t="s">
        <v>56</v>
      </c>
      <c r="N36" s="23" t="s">
        <v>57</v>
      </c>
      <c r="O36" s="24" t="s">
        <v>58</v>
      </c>
      <c r="P36" s="25" t="s">
        <v>59</v>
      </c>
    </row>
    <row r="37" spans="2:16" ht="30" x14ac:dyDescent="0.25">
      <c r="L37" s="26" t="s">
        <v>48</v>
      </c>
      <c r="M37" s="27"/>
      <c r="N37" s="28">
        <v>494380</v>
      </c>
      <c r="O37" s="29">
        <v>25870</v>
      </c>
      <c r="P37" s="30">
        <v>25196</v>
      </c>
    </row>
    <row r="38" spans="2:16" x14ac:dyDescent="0.25">
      <c r="L38" s="31" t="s">
        <v>49</v>
      </c>
      <c r="M38" s="32"/>
      <c r="N38" s="33">
        <v>384387</v>
      </c>
      <c r="O38" s="34">
        <v>22780</v>
      </c>
      <c r="P38" s="35">
        <v>22199</v>
      </c>
    </row>
    <row r="39" spans="2:16" x14ac:dyDescent="0.25">
      <c r="L39" s="36" t="s">
        <v>50</v>
      </c>
      <c r="M39" s="37"/>
      <c r="N39" s="38">
        <v>109993</v>
      </c>
      <c r="O39" s="39">
        <v>3090</v>
      </c>
      <c r="P39" s="40">
        <v>2997</v>
      </c>
    </row>
    <row r="40" spans="2:16" ht="30" x14ac:dyDescent="0.25">
      <c r="L40" s="51" t="s">
        <v>51</v>
      </c>
      <c r="M40" s="41" t="s">
        <v>52</v>
      </c>
      <c r="N40" s="42">
        <v>0.318</v>
      </c>
      <c r="O40" s="43"/>
      <c r="P40" s="44"/>
    </row>
    <row r="41" spans="2:16" ht="30" x14ac:dyDescent="0.25">
      <c r="L41" s="52"/>
      <c r="M41" s="45" t="s">
        <v>53</v>
      </c>
      <c r="N41" s="42">
        <v>0.31</v>
      </c>
      <c r="O41" s="34"/>
      <c r="P41" s="35"/>
    </row>
    <row r="42" spans="2:16" ht="30" x14ac:dyDescent="0.25">
      <c r="L42" s="53" t="s">
        <v>54</v>
      </c>
      <c r="M42" s="46" t="s">
        <v>52</v>
      </c>
      <c r="N42" s="47">
        <v>9.0999999999999998E-2</v>
      </c>
      <c r="O42" s="48"/>
      <c r="P42" s="49"/>
    </row>
    <row r="43" spans="2:16" ht="30.75" thickBot="1" x14ac:dyDescent="0.3">
      <c r="L43" s="54"/>
      <c r="M43" s="50" t="s">
        <v>53</v>
      </c>
      <c r="N43" s="47">
        <v>8.8999999999999996E-2</v>
      </c>
      <c r="O43" s="48"/>
      <c r="P43" s="49"/>
    </row>
    <row r="45" spans="2:16" x14ac:dyDescent="0.25">
      <c r="N45" s="5">
        <f>N37/N40</f>
        <v>1554654.0880503145</v>
      </c>
    </row>
    <row r="47" spans="2:16" x14ac:dyDescent="0.25">
      <c r="C47" t="s">
        <v>71</v>
      </c>
      <c r="D47" t="s">
        <v>64</v>
      </c>
      <c r="E47" s="7" t="s">
        <v>65</v>
      </c>
      <c r="F47" t="s">
        <v>66</v>
      </c>
      <c r="G47" t="s">
        <v>67</v>
      </c>
      <c r="H47" t="s">
        <v>68</v>
      </c>
      <c r="I47" t="s">
        <v>43</v>
      </c>
    </row>
    <row r="48" spans="2:16" x14ac:dyDescent="0.25">
      <c r="B48" s="70" t="s">
        <v>10</v>
      </c>
      <c r="C48" t="s">
        <v>11</v>
      </c>
      <c r="D48" t="s">
        <v>69</v>
      </c>
      <c r="E48" s="7">
        <v>48</v>
      </c>
      <c r="F48">
        <v>203</v>
      </c>
      <c r="G48" s="5">
        <v>2335</v>
      </c>
      <c r="H48" s="5">
        <v>42089</v>
      </c>
      <c r="I48" s="5">
        <v>44675</v>
      </c>
    </row>
    <row r="49" spans="2:9" x14ac:dyDescent="0.25">
      <c r="B49" s="70" t="s">
        <v>2</v>
      </c>
      <c r="C49" t="s">
        <v>3</v>
      </c>
      <c r="D49" t="s">
        <v>69</v>
      </c>
      <c r="E49" s="7">
        <v>9</v>
      </c>
      <c r="F49">
        <v>118</v>
      </c>
      <c r="G49" s="5">
        <v>1015</v>
      </c>
      <c r="H49" s="5">
        <v>18366</v>
      </c>
      <c r="I49" s="5">
        <v>19508</v>
      </c>
    </row>
    <row r="50" spans="2:9" x14ac:dyDescent="0.25">
      <c r="B50" s="70" t="s">
        <v>6</v>
      </c>
      <c r="C50" t="s">
        <v>7</v>
      </c>
      <c r="D50" t="s">
        <v>69</v>
      </c>
      <c r="E50" s="7">
        <v>58</v>
      </c>
      <c r="F50">
        <v>166</v>
      </c>
      <c r="G50" s="5">
        <v>2389</v>
      </c>
      <c r="H50" s="5">
        <v>36759</v>
      </c>
      <c r="I50" s="5">
        <v>39372</v>
      </c>
    </row>
    <row r="51" spans="2:9" x14ac:dyDescent="0.25">
      <c r="B51" s="69" t="s">
        <v>12</v>
      </c>
      <c r="C51" t="s">
        <v>13</v>
      </c>
      <c r="D51" t="s">
        <v>69</v>
      </c>
      <c r="E51" s="7">
        <v>23</v>
      </c>
      <c r="F51">
        <v>295</v>
      </c>
      <c r="G51" s="5">
        <v>2409</v>
      </c>
      <c r="H51" s="5">
        <v>42993</v>
      </c>
      <c r="I51" s="5">
        <v>45720</v>
      </c>
    </row>
    <row r="52" spans="2:9" x14ac:dyDescent="0.25">
      <c r="B52" s="69" t="s">
        <v>8</v>
      </c>
      <c r="C52" t="s">
        <v>9</v>
      </c>
      <c r="D52" t="s">
        <v>69</v>
      </c>
      <c r="E52" s="7">
        <v>21</v>
      </c>
      <c r="F52">
        <v>130</v>
      </c>
      <c r="G52" s="5">
        <v>1370</v>
      </c>
      <c r="H52" s="5">
        <v>25118</v>
      </c>
      <c r="I52" s="5">
        <v>26639</v>
      </c>
    </row>
    <row r="53" spans="2:9" x14ac:dyDescent="0.25">
      <c r="B53" s="69" t="s">
        <v>4</v>
      </c>
      <c r="C53" t="s">
        <v>5</v>
      </c>
      <c r="D53" t="s">
        <v>69</v>
      </c>
      <c r="E53" s="7">
        <v>45</v>
      </c>
      <c r="F53">
        <v>215</v>
      </c>
      <c r="G53" s="5">
        <v>2395</v>
      </c>
      <c r="H53" s="5">
        <v>35762</v>
      </c>
      <c r="I53" s="5">
        <v>38417</v>
      </c>
    </row>
    <row r="54" spans="2:9" x14ac:dyDescent="0.25">
      <c r="C54" s="9" t="s">
        <v>11</v>
      </c>
      <c r="D54" s="9" t="s">
        <v>72</v>
      </c>
      <c r="E54" s="14" t="s">
        <v>73</v>
      </c>
      <c r="F54" s="9">
        <v>60</v>
      </c>
      <c r="G54" s="9">
        <v>428</v>
      </c>
      <c r="H54" s="71">
        <v>91680</v>
      </c>
      <c r="I54" s="71">
        <v>92168</v>
      </c>
    </row>
    <row r="55" spans="2:9" x14ac:dyDescent="0.25">
      <c r="C55" s="9" t="s">
        <v>3</v>
      </c>
      <c r="D55" s="9" t="s">
        <v>72</v>
      </c>
      <c r="E55" s="14" t="s">
        <v>73</v>
      </c>
      <c r="F55" s="9">
        <v>31</v>
      </c>
      <c r="G55" s="9">
        <v>208</v>
      </c>
      <c r="H55" s="71">
        <v>41544</v>
      </c>
      <c r="I55" s="71">
        <v>41783</v>
      </c>
    </row>
    <row r="56" spans="2:9" x14ac:dyDescent="0.25">
      <c r="C56" s="9" t="s">
        <v>7</v>
      </c>
      <c r="D56" s="9" t="s">
        <v>72</v>
      </c>
      <c r="E56" s="14" t="s">
        <v>73</v>
      </c>
      <c r="F56" s="9">
        <v>50</v>
      </c>
      <c r="G56" s="9">
        <v>457</v>
      </c>
      <c r="H56" s="71">
        <v>82579</v>
      </c>
      <c r="I56" s="71">
        <v>83086</v>
      </c>
    </row>
    <row r="57" spans="2:9" x14ac:dyDescent="0.25">
      <c r="C57" s="9" t="s">
        <v>13</v>
      </c>
      <c r="D57" s="9" t="s">
        <v>72</v>
      </c>
      <c r="E57" s="14" t="s">
        <v>73</v>
      </c>
      <c r="F57" s="9">
        <v>75</v>
      </c>
      <c r="G57" s="9">
        <v>458</v>
      </c>
      <c r="H57" s="71">
        <v>95608</v>
      </c>
      <c r="I57" s="71">
        <v>96141</v>
      </c>
    </row>
    <row r="58" spans="2:9" x14ac:dyDescent="0.25">
      <c r="C58" s="9" t="s">
        <v>9</v>
      </c>
      <c r="D58" s="9" t="s">
        <v>72</v>
      </c>
      <c r="E58" s="14" t="s">
        <v>73</v>
      </c>
      <c r="F58" s="9">
        <v>57</v>
      </c>
      <c r="G58" s="9">
        <v>306</v>
      </c>
      <c r="H58" s="71">
        <v>54838</v>
      </c>
      <c r="I58" s="71">
        <v>55201</v>
      </c>
    </row>
    <row r="59" spans="2:9" x14ac:dyDescent="0.25">
      <c r="C59" s="9" t="s">
        <v>5</v>
      </c>
      <c r="D59" s="9" t="s">
        <v>72</v>
      </c>
      <c r="E59" s="14">
        <v>1</v>
      </c>
      <c r="F59" s="9">
        <v>71</v>
      </c>
      <c r="G59" s="9">
        <v>370</v>
      </c>
      <c r="H59" s="71">
        <v>77883</v>
      </c>
      <c r="I59" s="71">
        <v>78325</v>
      </c>
    </row>
    <row r="60" spans="2:9" x14ac:dyDescent="0.25">
      <c r="C60" s="9" t="s">
        <v>74</v>
      </c>
      <c r="D60" s="9" t="s">
        <v>75</v>
      </c>
      <c r="E60" s="14">
        <v>205</v>
      </c>
      <c r="F60" s="71">
        <v>1471</v>
      </c>
      <c r="G60" s="71">
        <v>14140</v>
      </c>
      <c r="H60" s="71">
        <v>645219</v>
      </c>
      <c r="I60" s="71">
        <v>661035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D0DE1-18C6-4AC3-9342-2A8FEA3ADF73}">
  <sheetPr>
    <tabColor rgb="FFFFFF00"/>
  </sheetPr>
  <dimension ref="A1:AR9"/>
  <sheetViews>
    <sheetView zoomScale="70" zoomScaleNormal="70" workbookViewId="0">
      <pane xSplit="2" ySplit="2" topLeftCell="V3" activePane="bottomRight" state="frozen"/>
      <selection activeCell="C3" sqref="C3"/>
      <selection pane="topRight" activeCell="C3" sqref="C3"/>
      <selection pane="bottomLeft" activeCell="C3" sqref="C3"/>
      <selection pane="bottomRight" activeCell="C3" sqref="C3"/>
    </sheetView>
  </sheetViews>
  <sheetFormatPr defaultRowHeight="15" x14ac:dyDescent="0.25"/>
  <cols>
    <col min="1" max="1" width="24.5703125" bestFit="1" customWidth="1"/>
    <col min="2" max="2" width="64" bestFit="1" customWidth="1"/>
    <col min="3" max="3" width="14.85546875" customWidth="1"/>
    <col min="4" max="9" width="12" bestFit="1" customWidth="1"/>
    <col min="10" max="10" width="11.5703125" bestFit="1" customWidth="1"/>
    <col min="11" max="11" width="11.140625" bestFit="1" customWidth="1"/>
    <col min="12" max="17" width="11.5703125" bestFit="1" customWidth="1"/>
    <col min="18" max="113" width="12" customWidth="1"/>
  </cols>
  <sheetData>
    <row r="1" spans="1:44" x14ac:dyDescent="0.25">
      <c r="C1" t="s">
        <v>117</v>
      </c>
    </row>
    <row r="2" spans="1:44" s="1" customFormat="1" x14ac:dyDescent="0.25">
      <c r="A2" s="1" t="s">
        <v>85</v>
      </c>
      <c r="B2" s="1" t="s">
        <v>86</v>
      </c>
      <c r="C2" s="1">
        <v>44452</v>
      </c>
      <c r="D2" s="1">
        <f>C2+1</f>
        <v>44453</v>
      </c>
      <c r="E2" s="1">
        <f t="shared" ref="E2:AR2" si="0">D2+1</f>
        <v>44454</v>
      </c>
      <c r="F2" s="1">
        <f t="shared" si="0"/>
        <v>44455</v>
      </c>
      <c r="G2" s="1">
        <f t="shared" si="0"/>
        <v>44456</v>
      </c>
      <c r="H2" s="1">
        <f t="shared" si="0"/>
        <v>44457</v>
      </c>
      <c r="I2" s="1">
        <f t="shared" si="0"/>
        <v>44458</v>
      </c>
      <c r="J2" s="1">
        <f t="shared" si="0"/>
        <v>44459</v>
      </c>
      <c r="K2" s="1">
        <f t="shared" si="0"/>
        <v>44460</v>
      </c>
      <c r="L2" s="1">
        <f t="shared" si="0"/>
        <v>44461</v>
      </c>
      <c r="M2" s="1">
        <f t="shared" si="0"/>
        <v>44462</v>
      </c>
      <c r="N2" s="1">
        <f t="shared" si="0"/>
        <v>44463</v>
      </c>
      <c r="O2" s="1">
        <f t="shared" si="0"/>
        <v>44464</v>
      </c>
      <c r="P2" s="1">
        <f t="shared" si="0"/>
        <v>44465</v>
      </c>
      <c r="Q2" s="1">
        <f t="shared" si="0"/>
        <v>44466</v>
      </c>
      <c r="R2" s="1">
        <f t="shared" si="0"/>
        <v>44467</v>
      </c>
      <c r="S2" s="1">
        <f t="shared" si="0"/>
        <v>44468</v>
      </c>
      <c r="T2" s="1">
        <f t="shared" si="0"/>
        <v>44469</v>
      </c>
      <c r="U2" s="1">
        <f t="shared" si="0"/>
        <v>44470</v>
      </c>
      <c r="V2" s="1">
        <f t="shared" si="0"/>
        <v>44471</v>
      </c>
      <c r="W2" s="1">
        <f t="shared" si="0"/>
        <v>44472</v>
      </c>
      <c r="X2" s="1">
        <f t="shared" si="0"/>
        <v>44473</v>
      </c>
      <c r="Y2" s="1">
        <f t="shared" si="0"/>
        <v>44474</v>
      </c>
      <c r="Z2" s="1">
        <f t="shared" si="0"/>
        <v>44475</v>
      </c>
      <c r="AA2" s="1">
        <f t="shared" si="0"/>
        <v>44476</v>
      </c>
      <c r="AB2" s="1">
        <f t="shared" si="0"/>
        <v>44477</v>
      </c>
      <c r="AC2" s="1">
        <f t="shared" si="0"/>
        <v>44478</v>
      </c>
      <c r="AD2" s="1">
        <f t="shared" si="0"/>
        <v>44479</v>
      </c>
      <c r="AE2" s="1">
        <f t="shared" si="0"/>
        <v>44480</v>
      </c>
      <c r="AF2" s="1">
        <f t="shared" si="0"/>
        <v>44481</v>
      </c>
      <c r="AG2" s="1">
        <f t="shared" si="0"/>
        <v>44482</v>
      </c>
      <c r="AH2" s="1">
        <f t="shared" si="0"/>
        <v>44483</v>
      </c>
      <c r="AI2" s="1">
        <f t="shared" si="0"/>
        <v>44484</v>
      </c>
      <c r="AJ2" s="1">
        <f t="shared" si="0"/>
        <v>44485</v>
      </c>
      <c r="AK2" s="1">
        <f t="shared" si="0"/>
        <v>44486</v>
      </c>
      <c r="AL2" s="1">
        <f t="shared" ref="AL2" si="1">AK2+1</f>
        <v>44487</v>
      </c>
      <c r="AM2" s="1">
        <f t="shared" ref="AM2" si="2">AL2+1</f>
        <v>44488</v>
      </c>
      <c r="AN2" s="1">
        <f t="shared" ref="AN2" si="3">AM2+1</f>
        <v>44489</v>
      </c>
      <c r="AO2" s="1">
        <f t="shared" ref="AO2" si="4">AN2+1</f>
        <v>44490</v>
      </c>
      <c r="AP2" s="1">
        <f t="shared" ref="AP2" si="5">AO2+1</f>
        <v>44491</v>
      </c>
      <c r="AQ2" s="1">
        <f t="shared" ref="AQ2" si="6">AP2+1</f>
        <v>44492</v>
      </c>
      <c r="AR2" s="1">
        <f t="shared" ref="AR2" si="7">AQ2+1</f>
        <v>44493</v>
      </c>
    </row>
    <row r="3" spans="1:44" x14ac:dyDescent="0.25">
      <c r="A3" t="s">
        <v>14</v>
      </c>
      <c r="B3" t="s">
        <v>10</v>
      </c>
      <c r="C3" s="75">
        <v>1</v>
      </c>
      <c r="D3" s="75">
        <v>8</v>
      </c>
      <c r="E3" s="75">
        <v>184</v>
      </c>
      <c r="F3" s="75">
        <v>254</v>
      </c>
      <c r="G3" s="75">
        <v>228</v>
      </c>
      <c r="H3" s="75">
        <v>544</v>
      </c>
      <c r="I3" s="75">
        <v>1</v>
      </c>
      <c r="J3" s="75">
        <v>11</v>
      </c>
      <c r="K3" s="75">
        <v>121</v>
      </c>
      <c r="L3" s="75">
        <v>1813</v>
      </c>
      <c r="M3" s="75">
        <v>2292</v>
      </c>
      <c r="N3" s="75">
        <v>2312</v>
      </c>
      <c r="O3" s="75">
        <v>3127</v>
      </c>
      <c r="P3" s="75">
        <v>1330</v>
      </c>
      <c r="Q3" s="75">
        <v>1830</v>
      </c>
      <c r="R3" s="75">
        <v>1495</v>
      </c>
      <c r="S3" s="75">
        <v>2561</v>
      </c>
      <c r="T3" s="75">
        <v>2977</v>
      </c>
      <c r="U3" s="75">
        <v>5717</v>
      </c>
      <c r="V3" s="75">
        <v>6663</v>
      </c>
      <c r="W3" s="75">
        <v>1291</v>
      </c>
      <c r="X3" s="75">
        <v>2474</v>
      </c>
      <c r="Y3" s="75">
        <v>3102</v>
      </c>
      <c r="Z3" s="75">
        <v>5788</v>
      </c>
      <c r="AA3" s="75">
        <v>4751</v>
      </c>
      <c r="AB3" s="75">
        <v>5293</v>
      </c>
      <c r="AC3" s="75">
        <v>9910</v>
      </c>
      <c r="AD3" s="75">
        <v>1774</v>
      </c>
      <c r="AE3" s="75">
        <v>2741</v>
      </c>
      <c r="AF3" s="75">
        <v>4872</v>
      </c>
      <c r="AG3" s="75">
        <v>6414</v>
      </c>
      <c r="AH3" s="75">
        <v>6488</v>
      </c>
      <c r="AI3" s="75">
        <v>6117</v>
      </c>
      <c r="AJ3" s="75">
        <v>10978</v>
      </c>
      <c r="AK3" s="75">
        <v>2149</v>
      </c>
      <c r="AL3" s="75">
        <v>3162</v>
      </c>
      <c r="AM3" s="75">
        <v>5259</v>
      </c>
      <c r="AN3" s="75">
        <v>7608</v>
      </c>
      <c r="AO3" s="75">
        <v>6134</v>
      </c>
      <c r="AP3" s="75">
        <v>7896</v>
      </c>
      <c r="AQ3">
        <v>10525</v>
      </c>
      <c r="AR3">
        <v>3087</v>
      </c>
    </row>
    <row r="4" spans="1:44" x14ac:dyDescent="0.25">
      <c r="A4" t="s">
        <v>14</v>
      </c>
      <c r="B4" t="s">
        <v>2</v>
      </c>
      <c r="C4" s="75"/>
      <c r="D4" s="75">
        <v>5</v>
      </c>
      <c r="E4" s="75">
        <v>1</v>
      </c>
      <c r="F4" s="75">
        <v>22</v>
      </c>
      <c r="G4" s="75">
        <v>54</v>
      </c>
      <c r="H4" s="75">
        <v>58</v>
      </c>
      <c r="I4" s="75"/>
      <c r="J4" s="75">
        <v>99</v>
      </c>
      <c r="K4" s="75">
        <v>278</v>
      </c>
      <c r="L4" s="75">
        <v>1586</v>
      </c>
      <c r="M4" s="75">
        <v>1241</v>
      </c>
      <c r="N4" s="75">
        <v>1119</v>
      </c>
      <c r="O4" s="75">
        <v>2247</v>
      </c>
      <c r="P4" s="75">
        <v>643</v>
      </c>
      <c r="Q4" s="75">
        <v>708</v>
      </c>
      <c r="R4" s="75">
        <v>2342</v>
      </c>
      <c r="S4" s="75">
        <v>2864</v>
      </c>
      <c r="T4" s="75">
        <v>2614</v>
      </c>
      <c r="U4" s="75">
        <v>2804</v>
      </c>
      <c r="V4" s="75">
        <v>2687</v>
      </c>
      <c r="W4" s="75">
        <v>1308</v>
      </c>
      <c r="X4" s="75">
        <v>1687</v>
      </c>
      <c r="Y4" s="75">
        <v>3260</v>
      </c>
      <c r="Z4" s="75">
        <v>3300</v>
      </c>
      <c r="AA4" s="75">
        <v>2853</v>
      </c>
      <c r="AB4" s="75">
        <v>2879</v>
      </c>
      <c r="AC4" s="75">
        <v>4119</v>
      </c>
      <c r="AD4" s="75">
        <v>1042</v>
      </c>
      <c r="AE4" s="75">
        <v>2154</v>
      </c>
      <c r="AF4" s="75">
        <v>3642</v>
      </c>
      <c r="AG4" s="75">
        <v>2822</v>
      </c>
      <c r="AH4" s="75">
        <v>3616</v>
      </c>
      <c r="AI4" s="75">
        <v>2037</v>
      </c>
      <c r="AJ4" s="75">
        <v>2810</v>
      </c>
      <c r="AK4" s="75">
        <v>1459</v>
      </c>
      <c r="AL4" s="75">
        <v>2284</v>
      </c>
      <c r="AM4" s="75">
        <v>3833</v>
      </c>
      <c r="AN4" s="75">
        <v>3208</v>
      </c>
      <c r="AO4" s="75">
        <v>3119</v>
      </c>
      <c r="AP4" s="75">
        <v>2299</v>
      </c>
      <c r="AQ4">
        <v>4835</v>
      </c>
      <c r="AR4">
        <v>1342</v>
      </c>
    </row>
    <row r="5" spans="1:44" x14ac:dyDescent="0.25">
      <c r="A5" t="s">
        <v>14</v>
      </c>
      <c r="B5" t="s">
        <v>6</v>
      </c>
      <c r="C5" s="75">
        <v>8</v>
      </c>
      <c r="D5" s="75">
        <v>7</v>
      </c>
      <c r="E5" s="75">
        <v>4</v>
      </c>
      <c r="F5" s="75">
        <v>6</v>
      </c>
      <c r="G5" s="75">
        <v>145</v>
      </c>
      <c r="H5" s="75">
        <v>58</v>
      </c>
      <c r="I5" s="75">
        <v>84</v>
      </c>
      <c r="J5" s="75">
        <v>247</v>
      </c>
      <c r="K5" s="75">
        <v>363</v>
      </c>
      <c r="L5" s="75">
        <v>864</v>
      </c>
      <c r="M5" s="75">
        <v>1056</v>
      </c>
      <c r="N5" s="75">
        <v>2148</v>
      </c>
      <c r="O5" s="75">
        <v>1828</v>
      </c>
      <c r="P5" s="75">
        <v>1935</v>
      </c>
      <c r="Q5" s="75">
        <v>3773</v>
      </c>
      <c r="R5" s="75">
        <v>4173</v>
      </c>
      <c r="S5" s="75">
        <v>3669</v>
      </c>
      <c r="T5" s="75">
        <v>5145</v>
      </c>
      <c r="U5" s="75">
        <v>4557</v>
      </c>
      <c r="V5" s="75">
        <v>9554</v>
      </c>
      <c r="W5" s="75">
        <v>5053</v>
      </c>
      <c r="X5" s="75">
        <v>4735</v>
      </c>
      <c r="Y5" s="75">
        <v>5104</v>
      </c>
      <c r="Z5" s="75">
        <v>6610</v>
      </c>
      <c r="AA5" s="75">
        <v>7360</v>
      </c>
      <c r="AB5" s="75">
        <v>5024</v>
      </c>
      <c r="AC5" s="75">
        <v>5802</v>
      </c>
      <c r="AD5" s="75">
        <v>3139</v>
      </c>
      <c r="AE5" s="75">
        <v>3379</v>
      </c>
      <c r="AF5" s="75">
        <v>5769</v>
      </c>
      <c r="AG5" s="75">
        <v>6917</v>
      </c>
      <c r="AH5" s="75">
        <v>7477</v>
      </c>
      <c r="AI5" s="75">
        <v>6206</v>
      </c>
      <c r="AJ5" s="75">
        <v>8847</v>
      </c>
      <c r="AK5" s="75">
        <v>3719</v>
      </c>
      <c r="AL5" s="75">
        <v>5031</v>
      </c>
      <c r="AM5" s="75">
        <v>5161</v>
      </c>
      <c r="AN5" s="75">
        <v>7222</v>
      </c>
      <c r="AO5" s="75">
        <v>8207</v>
      </c>
      <c r="AP5" s="75">
        <v>9425</v>
      </c>
      <c r="AQ5">
        <v>9821</v>
      </c>
      <c r="AR5">
        <v>4806</v>
      </c>
    </row>
    <row r="6" spans="1:44" x14ac:dyDescent="0.25">
      <c r="A6" t="s">
        <v>14</v>
      </c>
      <c r="B6" t="s">
        <v>12</v>
      </c>
      <c r="C6" s="75">
        <v>4</v>
      </c>
      <c r="D6" s="75">
        <v>9</v>
      </c>
      <c r="E6" s="75">
        <v>44</v>
      </c>
      <c r="F6" s="75">
        <v>231</v>
      </c>
      <c r="G6" s="75">
        <v>166</v>
      </c>
      <c r="H6" s="75">
        <v>612</v>
      </c>
      <c r="I6" s="75">
        <v>101</v>
      </c>
      <c r="J6" s="75">
        <v>78</v>
      </c>
      <c r="K6" s="75">
        <v>354</v>
      </c>
      <c r="L6" s="75">
        <v>847</v>
      </c>
      <c r="M6" s="75">
        <v>2729</v>
      </c>
      <c r="N6" s="75">
        <v>4098</v>
      </c>
      <c r="O6" s="75">
        <v>4544</v>
      </c>
      <c r="P6" s="75">
        <v>2712</v>
      </c>
      <c r="Q6" s="75">
        <v>1294</v>
      </c>
      <c r="R6" s="75">
        <v>4154</v>
      </c>
      <c r="S6" s="75">
        <v>1622</v>
      </c>
      <c r="T6" s="75">
        <v>4200</v>
      </c>
      <c r="U6" s="75">
        <v>3785</v>
      </c>
      <c r="V6" s="75">
        <v>9255</v>
      </c>
      <c r="W6" s="75">
        <v>3740</v>
      </c>
      <c r="X6" s="75">
        <v>2766</v>
      </c>
      <c r="Y6" s="75">
        <v>6170</v>
      </c>
      <c r="Z6" s="75">
        <v>3047</v>
      </c>
      <c r="AA6" s="75">
        <v>5501</v>
      </c>
      <c r="AB6" s="75">
        <v>4536</v>
      </c>
      <c r="AC6" s="75">
        <v>9435</v>
      </c>
      <c r="AD6" s="75">
        <v>3547</v>
      </c>
      <c r="AE6" s="75">
        <v>2304</v>
      </c>
      <c r="AF6" s="75">
        <v>5310</v>
      </c>
      <c r="AG6" s="75">
        <v>3486</v>
      </c>
      <c r="AH6" s="75">
        <v>5983</v>
      </c>
      <c r="AI6" s="75">
        <v>4411</v>
      </c>
      <c r="AJ6" s="75">
        <v>12426</v>
      </c>
      <c r="AK6" s="75">
        <v>4279</v>
      </c>
      <c r="AL6" s="75">
        <v>2758</v>
      </c>
      <c r="AM6" s="75">
        <v>6843</v>
      </c>
      <c r="AN6" s="75">
        <v>4690</v>
      </c>
      <c r="AO6" s="75">
        <v>7864</v>
      </c>
      <c r="AP6" s="75">
        <v>5723</v>
      </c>
      <c r="AQ6">
        <v>11666</v>
      </c>
      <c r="AR6">
        <v>4819</v>
      </c>
    </row>
    <row r="7" spans="1:44" x14ac:dyDescent="0.25">
      <c r="A7" t="s">
        <v>14</v>
      </c>
      <c r="B7" t="s">
        <v>8</v>
      </c>
      <c r="C7" s="75"/>
      <c r="D7" s="75">
        <v>2</v>
      </c>
      <c r="E7" s="75">
        <v>105</v>
      </c>
      <c r="F7" s="75">
        <v>3</v>
      </c>
      <c r="G7" s="75">
        <v>5</v>
      </c>
      <c r="H7" s="75">
        <v>4</v>
      </c>
      <c r="I7" s="75">
        <v>8</v>
      </c>
      <c r="J7" s="75">
        <v>133</v>
      </c>
      <c r="K7" s="75">
        <v>330</v>
      </c>
      <c r="L7" s="75">
        <v>410</v>
      </c>
      <c r="M7" s="75">
        <v>696</v>
      </c>
      <c r="N7" s="75">
        <v>947</v>
      </c>
      <c r="O7" s="75">
        <v>1773</v>
      </c>
      <c r="P7" s="75">
        <v>520</v>
      </c>
      <c r="Q7" s="75">
        <v>1022</v>
      </c>
      <c r="R7" s="75">
        <v>1485</v>
      </c>
      <c r="S7" s="75">
        <v>1860</v>
      </c>
      <c r="T7" s="75">
        <v>2773</v>
      </c>
      <c r="U7" s="75">
        <v>3584</v>
      </c>
      <c r="V7" s="75">
        <v>3722</v>
      </c>
      <c r="W7" s="75">
        <v>1635</v>
      </c>
      <c r="X7" s="75">
        <v>2214</v>
      </c>
      <c r="Y7" s="75">
        <v>3023</v>
      </c>
      <c r="Z7" s="75">
        <v>3485</v>
      </c>
      <c r="AA7" s="75">
        <v>3207</v>
      </c>
      <c r="AB7" s="75">
        <v>3852</v>
      </c>
      <c r="AC7" s="75">
        <v>3599</v>
      </c>
      <c r="AD7" s="75">
        <v>2519</v>
      </c>
      <c r="AE7" s="75">
        <v>2202</v>
      </c>
      <c r="AF7" s="75">
        <v>3425</v>
      </c>
      <c r="AG7" s="75">
        <v>3848</v>
      </c>
      <c r="AH7" s="75">
        <v>3702</v>
      </c>
      <c r="AI7" s="75">
        <v>3654</v>
      </c>
      <c r="AJ7" s="75">
        <v>4826</v>
      </c>
      <c r="AK7" s="75">
        <v>2791</v>
      </c>
      <c r="AL7" s="75">
        <v>2910</v>
      </c>
      <c r="AM7" s="75">
        <v>4520</v>
      </c>
      <c r="AN7" s="75">
        <v>3972</v>
      </c>
      <c r="AO7" s="75">
        <v>4970</v>
      </c>
      <c r="AP7" s="75">
        <v>4543</v>
      </c>
      <c r="AQ7">
        <v>5808</v>
      </c>
      <c r="AR7">
        <v>2516</v>
      </c>
    </row>
    <row r="8" spans="1:44" x14ac:dyDescent="0.25">
      <c r="A8" t="s">
        <v>14</v>
      </c>
      <c r="B8" t="s">
        <v>4</v>
      </c>
      <c r="C8" s="75"/>
      <c r="D8" s="75">
        <v>17</v>
      </c>
      <c r="E8" s="75">
        <v>11</v>
      </c>
      <c r="F8" s="75">
        <v>83</v>
      </c>
      <c r="G8" s="75">
        <v>11</v>
      </c>
      <c r="H8" s="75">
        <v>26</v>
      </c>
      <c r="I8" s="75">
        <v>4</v>
      </c>
      <c r="J8" s="75">
        <v>18</v>
      </c>
      <c r="K8" s="75">
        <v>493</v>
      </c>
      <c r="L8" s="75">
        <v>538</v>
      </c>
      <c r="M8" s="75">
        <v>595</v>
      </c>
      <c r="N8" s="75">
        <v>1897</v>
      </c>
      <c r="O8" s="75">
        <v>2549</v>
      </c>
      <c r="P8" s="75">
        <v>1046</v>
      </c>
      <c r="Q8" s="75">
        <v>2509</v>
      </c>
      <c r="R8" s="75">
        <v>3038</v>
      </c>
      <c r="S8" s="75">
        <v>4592</v>
      </c>
      <c r="T8" s="75">
        <v>5714</v>
      </c>
      <c r="U8" s="75">
        <v>6227</v>
      </c>
      <c r="V8" s="75">
        <v>7537</v>
      </c>
      <c r="W8" s="75">
        <v>2667</v>
      </c>
      <c r="X8" s="75">
        <v>4198</v>
      </c>
      <c r="Y8" s="75">
        <v>4811</v>
      </c>
      <c r="Z8" s="75">
        <v>4663</v>
      </c>
      <c r="AA8" s="75">
        <v>5263</v>
      </c>
      <c r="AB8" s="75">
        <v>5719</v>
      </c>
      <c r="AC8" s="75">
        <v>8687</v>
      </c>
      <c r="AD8" s="75">
        <v>4541</v>
      </c>
      <c r="AE8" s="75">
        <v>4421</v>
      </c>
      <c r="AF8" s="75">
        <v>5225</v>
      </c>
      <c r="AG8" s="75">
        <v>6246</v>
      </c>
      <c r="AH8" s="75">
        <v>7153</v>
      </c>
      <c r="AI8" s="75">
        <v>6505</v>
      </c>
      <c r="AJ8" s="75">
        <v>10030</v>
      </c>
      <c r="AK8" s="75">
        <v>4662</v>
      </c>
      <c r="AL8" s="75">
        <v>5810</v>
      </c>
      <c r="AM8" s="75">
        <v>7334</v>
      </c>
      <c r="AN8" s="75">
        <v>7499</v>
      </c>
      <c r="AO8" s="75">
        <v>9130</v>
      </c>
      <c r="AP8" s="75">
        <v>8565</v>
      </c>
      <c r="AQ8">
        <v>11723</v>
      </c>
      <c r="AR8">
        <v>4742</v>
      </c>
    </row>
    <row r="9" spans="1:44" x14ac:dyDescent="0.25">
      <c r="A9" s="1" t="s">
        <v>14</v>
      </c>
      <c r="B9" s="20" t="s">
        <v>43</v>
      </c>
      <c r="C9" s="75">
        <f>SUM(C3:C8)</f>
        <v>13</v>
      </c>
      <c r="D9" s="75">
        <f t="shared" ref="D9:AR9" si="8">SUM(D3:D8)</f>
        <v>48</v>
      </c>
      <c r="E9" s="75">
        <f t="shared" si="8"/>
        <v>349</v>
      </c>
      <c r="F9" s="75">
        <f t="shared" si="8"/>
        <v>599</v>
      </c>
      <c r="G9" s="75">
        <f t="shared" si="8"/>
        <v>609</v>
      </c>
      <c r="H9" s="75">
        <f t="shared" si="8"/>
        <v>1302</v>
      </c>
      <c r="I9" s="75">
        <f t="shared" si="8"/>
        <v>198</v>
      </c>
      <c r="J9" s="75">
        <f t="shared" si="8"/>
        <v>586</v>
      </c>
      <c r="K9" s="75">
        <f t="shared" si="8"/>
        <v>1939</v>
      </c>
      <c r="L9" s="75">
        <f t="shared" si="8"/>
        <v>6058</v>
      </c>
      <c r="M9" s="75">
        <f t="shared" si="8"/>
        <v>8609</v>
      </c>
      <c r="N9" s="75">
        <f t="shared" si="8"/>
        <v>12521</v>
      </c>
      <c r="O9" s="75">
        <f t="shared" si="8"/>
        <v>16068</v>
      </c>
      <c r="P9" s="75">
        <f t="shared" si="8"/>
        <v>8186</v>
      </c>
      <c r="Q9" s="75">
        <f t="shared" si="8"/>
        <v>11136</v>
      </c>
      <c r="R9" s="75">
        <f t="shared" si="8"/>
        <v>16687</v>
      </c>
      <c r="S9" s="75">
        <f t="shared" si="8"/>
        <v>17168</v>
      </c>
      <c r="T9" s="75">
        <f t="shared" si="8"/>
        <v>23423</v>
      </c>
      <c r="U9" s="75">
        <f t="shared" si="8"/>
        <v>26674</v>
      </c>
      <c r="V9" s="75">
        <f t="shared" si="8"/>
        <v>39418</v>
      </c>
      <c r="W9" s="75">
        <f t="shared" si="8"/>
        <v>15694</v>
      </c>
      <c r="X9" s="75">
        <f t="shared" si="8"/>
        <v>18074</v>
      </c>
      <c r="Y9" s="75">
        <f t="shared" si="8"/>
        <v>25470</v>
      </c>
      <c r="Z9" s="75">
        <f t="shared" si="8"/>
        <v>26893</v>
      </c>
      <c r="AA9" s="75">
        <f t="shared" si="8"/>
        <v>28935</v>
      </c>
      <c r="AB9" s="75">
        <f t="shared" si="8"/>
        <v>27303</v>
      </c>
      <c r="AC9" s="75">
        <f t="shared" si="8"/>
        <v>41552</v>
      </c>
      <c r="AD9" s="75">
        <f t="shared" si="8"/>
        <v>16562</v>
      </c>
      <c r="AE9" s="75">
        <f t="shared" si="8"/>
        <v>17201</v>
      </c>
      <c r="AF9" s="75">
        <f t="shared" si="8"/>
        <v>28243</v>
      </c>
      <c r="AG9" s="75">
        <f t="shared" si="8"/>
        <v>29733</v>
      </c>
      <c r="AH9" s="75">
        <f t="shared" si="8"/>
        <v>34419</v>
      </c>
      <c r="AI9" s="75">
        <f t="shared" si="8"/>
        <v>28930</v>
      </c>
      <c r="AJ9" s="75">
        <f t="shared" si="8"/>
        <v>49917</v>
      </c>
      <c r="AK9" s="75">
        <f t="shared" si="8"/>
        <v>19059</v>
      </c>
      <c r="AL9" s="75">
        <f t="shared" si="8"/>
        <v>21955</v>
      </c>
      <c r="AM9" s="75">
        <f t="shared" si="8"/>
        <v>32950</v>
      </c>
      <c r="AN9" s="75">
        <f t="shared" si="8"/>
        <v>34199</v>
      </c>
      <c r="AO9" s="75">
        <f t="shared" si="8"/>
        <v>39424</v>
      </c>
      <c r="AP9" s="75">
        <f t="shared" si="8"/>
        <v>38451</v>
      </c>
      <c r="AQ9" s="75">
        <f t="shared" si="8"/>
        <v>54378</v>
      </c>
      <c r="AR9" s="75">
        <f t="shared" si="8"/>
        <v>21312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C0CEF-06C7-4533-A537-6D26F0BFF2D6}">
  <sheetPr>
    <tabColor rgb="FFFFFF00"/>
  </sheetPr>
  <dimension ref="A1:AR45"/>
  <sheetViews>
    <sheetView zoomScale="70" zoomScaleNormal="70" workbookViewId="0">
      <pane xSplit="2" ySplit="2" topLeftCell="U3" activePane="bottomRight" state="frozen"/>
      <selection activeCell="C3" sqref="C3"/>
      <selection pane="topRight" activeCell="C3" sqref="C3"/>
      <selection pane="bottomLeft" activeCell="C3" sqref="C3"/>
      <selection pane="bottomRight" activeCell="C3" sqref="C3"/>
    </sheetView>
  </sheetViews>
  <sheetFormatPr defaultRowHeight="15" x14ac:dyDescent="0.25"/>
  <cols>
    <col min="1" max="1" width="24.5703125" bestFit="1" customWidth="1"/>
    <col min="2" max="2" width="40.7109375" customWidth="1"/>
    <col min="3" max="3" width="17.140625" bestFit="1" customWidth="1"/>
    <col min="4" max="4" width="13.42578125" customWidth="1"/>
    <col min="5" max="10" width="12.140625" bestFit="1" customWidth="1"/>
    <col min="11" max="11" width="11.7109375" bestFit="1" customWidth="1"/>
    <col min="12" max="12" width="11.28515625" bestFit="1" customWidth="1"/>
    <col min="13" max="20" width="11.7109375" bestFit="1" customWidth="1"/>
    <col min="21" max="21" width="12.140625" bestFit="1" customWidth="1"/>
    <col min="22" max="22" width="11.7109375" bestFit="1" customWidth="1"/>
    <col min="23" max="27" width="12.140625" bestFit="1" customWidth="1"/>
    <col min="28" max="31" width="12" bestFit="1" customWidth="1"/>
    <col min="32" max="114" width="12" customWidth="1"/>
  </cols>
  <sheetData>
    <row r="1" spans="1:44" x14ac:dyDescent="0.25">
      <c r="C1" t="s">
        <v>118</v>
      </c>
    </row>
    <row r="2" spans="1:44" s="1" customFormat="1" x14ac:dyDescent="0.25">
      <c r="A2" s="1" t="str">
        <f>PM_Daily_Data!A2</f>
        <v>NHS Region</v>
      </c>
      <c r="B2" s="1" t="str">
        <f>PM_Daily_Data!B2</f>
        <v>STP/ICS Name</v>
      </c>
      <c r="C2" s="1">
        <f>PM_Daily_Data!C2</f>
        <v>44452</v>
      </c>
      <c r="D2" s="1">
        <f>PM_Daily_Data!D2</f>
        <v>44453</v>
      </c>
      <c r="E2" s="1">
        <f>PM_Daily_Data!E2</f>
        <v>44454</v>
      </c>
      <c r="F2" s="1">
        <f>PM_Daily_Data!F2</f>
        <v>44455</v>
      </c>
      <c r="G2" s="1">
        <f>PM_Daily_Data!G2</f>
        <v>44456</v>
      </c>
      <c r="H2" s="1">
        <f>PM_Daily_Data!H2</f>
        <v>44457</v>
      </c>
      <c r="I2" s="1">
        <f>PM_Daily_Data!I2</f>
        <v>44458</v>
      </c>
      <c r="J2" s="1">
        <f>PM_Daily_Data!J2</f>
        <v>44459</v>
      </c>
      <c r="K2" s="1">
        <f>PM_Daily_Data!K2</f>
        <v>44460</v>
      </c>
      <c r="L2" s="1">
        <f>PM_Daily_Data!L2</f>
        <v>44461</v>
      </c>
      <c r="M2" s="1">
        <f>PM_Daily_Data!M2</f>
        <v>44462</v>
      </c>
      <c r="N2" s="1">
        <f>PM_Daily_Data!N2</f>
        <v>44463</v>
      </c>
      <c r="O2" s="1">
        <f>PM_Daily_Data!O2</f>
        <v>44464</v>
      </c>
      <c r="P2" s="1">
        <f>PM_Daily_Data!P2</f>
        <v>44465</v>
      </c>
      <c r="Q2" s="1">
        <f>PM_Daily_Data!Q2</f>
        <v>44466</v>
      </c>
      <c r="R2" s="1">
        <f>PM_Daily_Data!R2</f>
        <v>44467</v>
      </c>
      <c r="S2" s="1">
        <f>PM_Daily_Data!S2</f>
        <v>44468</v>
      </c>
      <c r="T2" s="1">
        <f>PM_Daily_Data!T2</f>
        <v>44469</v>
      </c>
      <c r="U2" s="1">
        <f>PM_Daily_Data!U2</f>
        <v>44470</v>
      </c>
      <c r="V2" s="1">
        <f>PM_Daily_Data!V2</f>
        <v>44471</v>
      </c>
      <c r="W2" s="1">
        <f>PM_Daily_Data!W2</f>
        <v>44472</v>
      </c>
      <c r="X2" s="1">
        <f>PM_Daily_Data!X2</f>
        <v>44473</v>
      </c>
      <c r="Y2" s="1">
        <f>PM_Daily_Data!Y2</f>
        <v>44474</v>
      </c>
      <c r="Z2" s="1">
        <f>PM_Daily_Data!Z2</f>
        <v>44475</v>
      </c>
      <c r="AA2" s="1">
        <f>PM_Daily_Data!AA2</f>
        <v>44476</v>
      </c>
      <c r="AB2" s="1">
        <f>PM_Daily_Data!AB2</f>
        <v>44477</v>
      </c>
      <c r="AC2" s="1">
        <f>PM_Daily_Data!AC2</f>
        <v>44478</v>
      </c>
      <c r="AD2" s="1">
        <f>PM_Daily_Data!AD2</f>
        <v>44479</v>
      </c>
      <c r="AE2" s="1">
        <f>PM_Daily_Data!AE2</f>
        <v>44480</v>
      </c>
      <c r="AF2" s="1">
        <f>PM_Daily_Data!AF2</f>
        <v>44481</v>
      </c>
      <c r="AG2" s="1">
        <f>PM_Daily_Data!AG2</f>
        <v>44482</v>
      </c>
      <c r="AH2" s="1">
        <f>PM_Daily_Data!AH2</f>
        <v>44483</v>
      </c>
      <c r="AI2" s="1">
        <f>PM_Daily_Data!AI2</f>
        <v>44484</v>
      </c>
      <c r="AJ2" s="1">
        <f>PM_Daily_Data!AJ2</f>
        <v>44485</v>
      </c>
      <c r="AK2" s="1">
        <f>PM_Daily_Data!AK2</f>
        <v>44486</v>
      </c>
      <c r="AL2" s="1">
        <f>PM_Daily_Data!AL2</f>
        <v>44487</v>
      </c>
      <c r="AM2" s="1">
        <f>PM_Daily_Data!AM2</f>
        <v>44488</v>
      </c>
      <c r="AN2" s="1">
        <f>PM_Daily_Data!AN2</f>
        <v>44489</v>
      </c>
      <c r="AO2" s="1">
        <f>PM_Daily_Data!AO2</f>
        <v>44490</v>
      </c>
      <c r="AP2" s="1">
        <f>PM_Daily_Data!AP2</f>
        <v>44491</v>
      </c>
      <c r="AQ2" s="1">
        <f>PM_Daily_Data!AQ2</f>
        <v>44492</v>
      </c>
      <c r="AR2" s="1">
        <f>PM_Daily_Data!AR2</f>
        <v>44493</v>
      </c>
    </row>
    <row r="3" spans="1:44" x14ac:dyDescent="0.25">
      <c r="A3" s="1" t="str">
        <f>PM_Daily_Data!A3</f>
        <v>South East</v>
      </c>
      <c r="B3" s="1" t="str">
        <f>PM_Daily_Data!B3</f>
        <v>Buckinghamshire, Oxfordshire and Berkshire West</v>
      </c>
      <c r="C3" s="75">
        <f>PM_Daily_Data!C3</f>
        <v>1</v>
      </c>
      <c r="D3" s="75">
        <f>PM_Daily_Data!D3+C3</f>
        <v>9</v>
      </c>
      <c r="E3" s="75">
        <f>PM_Daily_Data!E3+D3</f>
        <v>193</v>
      </c>
      <c r="F3" s="75">
        <f>PM_Daily_Data!F3+E3</f>
        <v>447</v>
      </c>
      <c r="G3" s="75">
        <f>PM_Daily_Data!G3+F3</f>
        <v>675</v>
      </c>
      <c r="H3" s="75">
        <f>PM_Daily_Data!H3+G3</f>
        <v>1219</v>
      </c>
      <c r="I3" s="75">
        <f>PM_Daily_Data!I3+H3</f>
        <v>1220</v>
      </c>
      <c r="J3" s="75">
        <f>PM_Daily_Data!J3+I3</f>
        <v>1231</v>
      </c>
      <c r="K3" s="75">
        <f>PM_Daily_Data!K3+J3</f>
        <v>1352</v>
      </c>
      <c r="L3" s="75">
        <f>PM_Daily_Data!L3+K3</f>
        <v>3165</v>
      </c>
      <c r="M3" s="75">
        <f>PM_Daily_Data!M3+L3</f>
        <v>5457</v>
      </c>
      <c r="N3" s="75">
        <f>PM_Daily_Data!N3+M3</f>
        <v>7769</v>
      </c>
      <c r="O3" s="75">
        <f>PM_Daily_Data!O3+N3</f>
        <v>10896</v>
      </c>
      <c r="P3" s="75">
        <f>PM_Daily_Data!P3+O3</f>
        <v>12226</v>
      </c>
      <c r="Q3" s="75">
        <f>PM_Daily_Data!Q3+P3</f>
        <v>14056</v>
      </c>
      <c r="R3" s="75">
        <f>PM_Daily_Data!R3+Q3</f>
        <v>15551</v>
      </c>
      <c r="S3" s="75">
        <f>PM_Daily_Data!S3+R3</f>
        <v>18112</v>
      </c>
      <c r="T3" s="75">
        <f>PM_Daily_Data!T3+S3</f>
        <v>21089</v>
      </c>
      <c r="U3" s="75">
        <f>PM_Daily_Data!U3+T3</f>
        <v>26806</v>
      </c>
      <c r="V3" s="75">
        <f>PM_Daily_Data!V3+U3</f>
        <v>33469</v>
      </c>
      <c r="W3" s="75">
        <f>PM_Daily_Data!W3+V3</f>
        <v>34760</v>
      </c>
      <c r="X3" s="75">
        <f>PM_Daily_Data!X3+W3</f>
        <v>37234</v>
      </c>
      <c r="Y3" s="75">
        <f>PM_Daily_Data!Y3+X3</f>
        <v>40336</v>
      </c>
      <c r="Z3" s="75">
        <f>PM_Daily_Data!Z3+Y3</f>
        <v>46124</v>
      </c>
      <c r="AA3" s="75">
        <f>PM_Daily_Data!AA3+Z3</f>
        <v>50875</v>
      </c>
      <c r="AB3" s="75">
        <f>PM_Daily_Data!AB3+AA3</f>
        <v>56168</v>
      </c>
      <c r="AC3" s="75">
        <f>PM_Daily_Data!AC3+AB3</f>
        <v>66078</v>
      </c>
      <c r="AD3" s="75">
        <f>PM_Daily_Data!AD3+AC3</f>
        <v>67852</v>
      </c>
      <c r="AE3" s="75">
        <f>PM_Daily_Data!AE3+AD3</f>
        <v>70593</v>
      </c>
      <c r="AF3" s="75">
        <f>PM_Daily_Data!AF3+AE3</f>
        <v>75465</v>
      </c>
      <c r="AG3" s="75">
        <f>PM_Daily_Data!AG3+AF3</f>
        <v>81879</v>
      </c>
      <c r="AH3" s="75">
        <f>PM_Daily_Data!AH3+AG3</f>
        <v>88367</v>
      </c>
      <c r="AI3" s="75">
        <f>PM_Daily_Data!AI3+AH3</f>
        <v>94484</v>
      </c>
      <c r="AJ3" s="75">
        <f>PM_Daily_Data!AJ3+AI3</f>
        <v>105462</v>
      </c>
      <c r="AK3" s="75">
        <f>PM_Daily_Data!AK3+AJ3</f>
        <v>107611</v>
      </c>
      <c r="AL3" s="75">
        <f>PM_Daily_Data!AL3+AK3</f>
        <v>110773</v>
      </c>
      <c r="AM3" s="75">
        <f>PM_Daily_Data!AM3+AL3</f>
        <v>116032</v>
      </c>
      <c r="AN3" s="75">
        <f>PM_Daily_Data!AN3+AM3</f>
        <v>123640</v>
      </c>
      <c r="AO3" s="75">
        <f>PM_Daily_Data!AO3+AN3</f>
        <v>129774</v>
      </c>
      <c r="AP3" s="75">
        <f>PM_Daily_Data!AP3+AO3</f>
        <v>137670</v>
      </c>
      <c r="AQ3" s="75">
        <f>PM_Daily_Data!AQ3+AP3</f>
        <v>148195</v>
      </c>
      <c r="AR3" s="75">
        <f>PM_Daily_Data!AR3+AQ3</f>
        <v>151282</v>
      </c>
    </row>
    <row r="4" spans="1:44" x14ac:dyDescent="0.25">
      <c r="A4" s="1" t="str">
        <f>PM_Daily_Data!A4</f>
        <v>South East</v>
      </c>
      <c r="B4" s="1" t="str">
        <f>PM_Daily_Data!B4</f>
        <v>Frimley Health and Care ICS</v>
      </c>
      <c r="C4" s="75">
        <f>PM_Daily_Data!C4</f>
        <v>0</v>
      </c>
      <c r="D4" s="75">
        <f>PM_Daily_Data!D4+C4</f>
        <v>5</v>
      </c>
      <c r="E4" s="75">
        <f>PM_Daily_Data!E4+D4</f>
        <v>6</v>
      </c>
      <c r="F4" s="75">
        <f>PM_Daily_Data!F4+E4</f>
        <v>28</v>
      </c>
      <c r="G4" s="75">
        <f>PM_Daily_Data!G4+F4</f>
        <v>82</v>
      </c>
      <c r="H4" s="75">
        <f>PM_Daily_Data!H4+G4</f>
        <v>140</v>
      </c>
      <c r="I4" s="75">
        <f>PM_Daily_Data!I4+H4</f>
        <v>140</v>
      </c>
      <c r="J4" s="75">
        <f>PM_Daily_Data!J4+I4</f>
        <v>239</v>
      </c>
      <c r="K4" s="75">
        <f>PM_Daily_Data!K4+J4</f>
        <v>517</v>
      </c>
      <c r="L4" s="75">
        <f>PM_Daily_Data!L4+K4</f>
        <v>2103</v>
      </c>
      <c r="M4" s="75">
        <f>PM_Daily_Data!M4+L4</f>
        <v>3344</v>
      </c>
      <c r="N4" s="75">
        <f>PM_Daily_Data!N4+M4</f>
        <v>4463</v>
      </c>
      <c r="O4" s="75">
        <f>PM_Daily_Data!O4+N4</f>
        <v>6710</v>
      </c>
      <c r="P4" s="75">
        <f>PM_Daily_Data!P4+O4</f>
        <v>7353</v>
      </c>
      <c r="Q4" s="75">
        <f>PM_Daily_Data!Q4+P4</f>
        <v>8061</v>
      </c>
      <c r="R4" s="75">
        <f>PM_Daily_Data!R4+Q4</f>
        <v>10403</v>
      </c>
      <c r="S4" s="75">
        <f>PM_Daily_Data!S4+R4</f>
        <v>13267</v>
      </c>
      <c r="T4" s="75">
        <f>PM_Daily_Data!T4+S4</f>
        <v>15881</v>
      </c>
      <c r="U4" s="75">
        <f>PM_Daily_Data!U4+T4</f>
        <v>18685</v>
      </c>
      <c r="V4" s="75">
        <f>PM_Daily_Data!V4+U4</f>
        <v>21372</v>
      </c>
      <c r="W4" s="75">
        <f>PM_Daily_Data!W4+V4</f>
        <v>22680</v>
      </c>
      <c r="X4" s="75">
        <f>PM_Daily_Data!X4+W4</f>
        <v>24367</v>
      </c>
      <c r="Y4" s="75">
        <f>PM_Daily_Data!Y4+X4</f>
        <v>27627</v>
      </c>
      <c r="Z4" s="75">
        <f>PM_Daily_Data!Z4+Y4</f>
        <v>30927</v>
      </c>
      <c r="AA4" s="75">
        <f>PM_Daily_Data!AA4+Z4</f>
        <v>33780</v>
      </c>
      <c r="AB4" s="75">
        <f>PM_Daily_Data!AB4+AA4</f>
        <v>36659</v>
      </c>
      <c r="AC4" s="75">
        <f>PM_Daily_Data!AC4+AB4</f>
        <v>40778</v>
      </c>
      <c r="AD4" s="75">
        <f>PM_Daily_Data!AD4+AC4</f>
        <v>41820</v>
      </c>
      <c r="AE4" s="75">
        <f>PM_Daily_Data!AE4+AD4</f>
        <v>43974</v>
      </c>
      <c r="AF4" s="75">
        <f>PM_Daily_Data!AF4+AE4</f>
        <v>47616</v>
      </c>
      <c r="AG4" s="75">
        <f>PM_Daily_Data!AG4+AF4</f>
        <v>50438</v>
      </c>
      <c r="AH4" s="75">
        <f>PM_Daily_Data!AH4+AG4</f>
        <v>54054</v>
      </c>
      <c r="AI4" s="75">
        <f>PM_Daily_Data!AI4+AH4</f>
        <v>56091</v>
      </c>
      <c r="AJ4" s="75">
        <f>PM_Daily_Data!AJ4+AI4</f>
        <v>58901</v>
      </c>
      <c r="AK4" s="75">
        <f>PM_Daily_Data!AK4+AJ4</f>
        <v>60360</v>
      </c>
      <c r="AL4" s="75">
        <f>PM_Daily_Data!AL4+AK4</f>
        <v>62644</v>
      </c>
      <c r="AM4" s="75">
        <f>PM_Daily_Data!AM4+AL4</f>
        <v>66477</v>
      </c>
      <c r="AN4" s="75">
        <f>PM_Daily_Data!AN4+AM4</f>
        <v>69685</v>
      </c>
      <c r="AO4" s="75">
        <f>PM_Daily_Data!AO4+AN4</f>
        <v>72804</v>
      </c>
      <c r="AP4" s="75">
        <f>PM_Daily_Data!AP4+AO4</f>
        <v>75103</v>
      </c>
      <c r="AQ4" s="75">
        <f>PM_Daily_Data!AQ4+AP4</f>
        <v>79938</v>
      </c>
      <c r="AR4" s="75">
        <f>PM_Daily_Data!AR4+AQ4</f>
        <v>81280</v>
      </c>
    </row>
    <row r="5" spans="1:44" x14ac:dyDescent="0.25">
      <c r="A5" s="1" t="str">
        <f>PM_Daily_Data!A5</f>
        <v>South East</v>
      </c>
      <c r="B5" s="1" t="str">
        <f>PM_Daily_Data!B5</f>
        <v>Hampshire and the Isle of Wight</v>
      </c>
      <c r="C5" s="75">
        <f>PM_Daily_Data!C5</f>
        <v>8</v>
      </c>
      <c r="D5" s="75">
        <f>PM_Daily_Data!D5+C5</f>
        <v>15</v>
      </c>
      <c r="E5" s="75">
        <f>PM_Daily_Data!E5+D5</f>
        <v>19</v>
      </c>
      <c r="F5" s="75">
        <f>PM_Daily_Data!F5+E5</f>
        <v>25</v>
      </c>
      <c r="G5" s="75">
        <f>PM_Daily_Data!G5+F5</f>
        <v>170</v>
      </c>
      <c r="H5" s="75">
        <f>PM_Daily_Data!H5+G5</f>
        <v>228</v>
      </c>
      <c r="I5" s="75">
        <f>PM_Daily_Data!I5+H5</f>
        <v>312</v>
      </c>
      <c r="J5" s="75">
        <f>PM_Daily_Data!J5+I5</f>
        <v>559</v>
      </c>
      <c r="K5" s="75">
        <f>PM_Daily_Data!K5+J5</f>
        <v>922</v>
      </c>
      <c r="L5" s="75">
        <f>PM_Daily_Data!L5+K5</f>
        <v>1786</v>
      </c>
      <c r="M5" s="75">
        <f>PM_Daily_Data!M5+L5</f>
        <v>2842</v>
      </c>
      <c r="N5" s="75">
        <f>PM_Daily_Data!N5+M5</f>
        <v>4990</v>
      </c>
      <c r="O5" s="75">
        <f>PM_Daily_Data!O5+N5</f>
        <v>6818</v>
      </c>
      <c r="P5" s="75">
        <f>PM_Daily_Data!P5+O5</f>
        <v>8753</v>
      </c>
      <c r="Q5" s="75">
        <f>PM_Daily_Data!Q5+P5</f>
        <v>12526</v>
      </c>
      <c r="R5" s="75">
        <f>PM_Daily_Data!R5+Q5</f>
        <v>16699</v>
      </c>
      <c r="S5" s="75">
        <f>PM_Daily_Data!S5+R5</f>
        <v>20368</v>
      </c>
      <c r="T5" s="75">
        <f>PM_Daily_Data!T5+S5</f>
        <v>25513</v>
      </c>
      <c r="U5" s="75">
        <f>PM_Daily_Data!U5+T5</f>
        <v>30070</v>
      </c>
      <c r="V5" s="75">
        <f>PM_Daily_Data!V5+U5</f>
        <v>39624</v>
      </c>
      <c r="W5" s="75">
        <f>PM_Daily_Data!W5+V5</f>
        <v>44677</v>
      </c>
      <c r="X5" s="75">
        <f>PM_Daily_Data!X5+W5</f>
        <v>49412</v>
      </c>
      <c r="Y5" s="75">
        <f>PM_Daily_Data!Y5+X5</f>
        <v>54516</v>
      </c>
      <c r="Z5" s="75">
        <f>PM_Daily_Data!Z5+Y5</f>
        <v>61126</v>
      </c>
      <c r="AA5" s="75">
        <f>PM_Daily_Data!AA5+Z5</f>
        <v>68486</v>
      </c>
      <c r="AB5" s="75">
        <f>PM_Daily_Data!AB5+AA5</f>
        <v>73510</v>
      </c>
      <c r="AC5" s="75">
        <f>PM_Daily_Data!AC5+AB5</f>
        <v>79312</v>
      </c>
      <c r="AD5" s="75">
        <f>PM_Daily_Data!AD5+AC5</f>
        <v>82451</v>
      </c>
      <c r="AE5" s="75">
        <f>PM_Daily_Data!AE5+AD5</f>
        <v>85830</v>
      </c>
      <c r="AF5" s="75">
        <f>PM_Daily_Data!AF5+AE5</f>
        <v>91599</v>
      </c>
      <c r="AG5" s="75">
        <f>PM_Daily_Data!AG5+AF5</f>
        <v>98516</v>
      </c>
      <c r="AH5" s="75">
        <f>PM_Daily_Data!AH5+AG5</f>
        <v>105993</v>
      </c>
      <c r="AI5" s="75">
        <f>PM_Daily_Data!AI5+AH5</f>
        <v>112199</v>
      </c>
      <c r="AJ5" s="75">
        <f>PM_Daily_Data!AJ5+AI5</f>
        <v>121046</v>
      </c>
      <c r="AK5" s="75">
        <f>PM_Daily_Data!AK5+AJ5</f>
        <v>124765</v>
      </c>
      <c r="AL5" s="75">
        <f>PM_Daily_Data!AL5+AK5</f>
        <v>129796</v>
      </c>
      <c r="AM5" s="75">
        <f>PM_Daily_Data!AM5+AL5</f>
        <v>134957</v>
      </c>
      <c r="AN5" s="75">
        <f>PM_Daily_Data!AN5+AM5</f>
        <v>142179</v>
      </c>
      <c r="AO5" s="75">
        <f>PM_Daily_Data!AO5+AN5</f>
        <v>150386</v>
      </c>
      <c r="AP5" s="75">
        <f>PM_Daily_Data!AP5+AO5</f>
        <v>159811</v>
      </c>
      <c r="AQ5" s="75">
        <f>PM_Daily_Data!AQ5+AP5</f>
        <v>169632</v>
      </c>
      <c r="AR5" s="75">
        <f>PM_Daily_Data!AR5+AQ5</f>
        <v>174438</v>
      </c>
    </row>
    <row r="6" spans="1:44" x14ac:dyDescent="0.25">
      <c r="A6" s="1" t="str">
        <f>PM_Daily_Data!A6</f>
        <v>South East</v>
      </c>
      <c r="B6" s="1" t="str">
        <f>PM_Daily_Data!B6</f>
        <v>Kent and Medway</v>
      </c>
      <c r="C6" s="75">
        <f>PM_Daily_Data!C6</f>
        <v>4</v>
      </c>
      <c r="D6" s="75">
        <f>PM_Daily_Data!D6+C6</f>
        <v>13</v>
      </c>
      <c r="E6" s="75">
        <f>PM_Daily_Data!E6+D6</f>
        <v>57</v>
      </c>
      <c r="F6" s="75">
        <f>PM_Daily_Data!F6+E6</f>
        <v>288</v>
      </c>
      <c r="G6" s="75">
        <f>PM_Daily_Data!G6+F6</f>
        <v>454</v>
      </c>
      <c r="H6" s="75">
        <f>PM_Daily_Data!H6+G6</f>
        <v>1066</v>
      </c>
      <c r="I6" s="75">
        <f>PM_Daily_Data!I6+H6</f>
        <v>1167</v>
      </c>
      <c r="J6" s="75">
        <f>PM_Daily_Data!J6+I6</f>
        <v>1245</v>
      </c>
      <c r="K6" s="75">
        <f>PM_Daily_Data!K6+J6</f>
        <v>1599</v>
      </c>
      <c r="L6" s="75">
        <f>PM_Daily_Data!L6+K6</f>
        <v>2446</v>
      </c>
      <c r="M6" s="75">
        <f>PM_Daily_Data!M6+L6</f>
        <v>5175</v>
      </c>
      <c r="N6" s="75">
        <f>PM_Daily_Data!N6+M6</f>
        <v>9273</v>
      </c>
      <c r="O6" s="75">
        <f>PM_Daily_Data!O6+N6</f>
        <v>13817</v>
      </c>
      <c r="P6" s="75">
        <f>PM_Daily_Data!P6+O6</f>
        <v>16529</v>
      </c>
      <c r="Q6" s="75">
        <f>PM_Daily_Data!Q6+P6</f>
        <v>17823</v>
      </c>
      <c r="R6" s="75">
        <f>PM_Daily_Data!R6+Q6</f>
        <v>21977</v>
      </c>
      <c r="S6" s="75">
        <f>PM_Daily_Data!S6+R6</f>
        <v>23599</v>
      </c>
      <c r="T6" s="75">
        <f>PM_Daily_Data!T6+S6</f>
        <v>27799</v>
      </c>
      <c r="U6" s="75">
        <f>PM_Daily_Data!U6+T6</f>
        <v>31584</v>
      </c>
      <c r="V6" s="75">
        <f>PM_Daily_Data!V6+U6</f>
        <v>40839</v>
      </c>
      <c r="W6" s="75">
        <f>PM_Daily_Data!W6+V6</f>
        <v>44579</v>
      </c>
      <c r="X6" s="75">
        <f>PM_Daily_Data!X6+W6</f>
        <v>47345</v>
      </c>
      <c r="Y6" s="75">
        <f>PM_Daily_Data!Y6+X6</f>
        <v>53515</v>
      </c>
      <c r="Z6" s="75">
        <f>PM_Daily_Data!Z6+Y6</f>
        <v>56562</v>
      </c>
      <c r="AA6" s="75">
        <f>PM_Daily_Data!AA6+Z6</f>
        <v>62063</v>
      </c>
      <c r="AB6" s="75">
        <f>PM_Daily_Data!AB6+AA6</f>
        <v>66599</v>
      </c>
      <c r="AC6" s="75">
        <f>PM_Daily_Data!AC6+AB6</f>
        <v>76034</v>
      </c>
      <c r="AD6" s="75">
        <f>PM_Daily_Data!AD6+AC6</f>
        <v>79581</v>
      </c>
      <c r="AE6" s="75">
        <f>PM_Daily_Data!AE6+AD6</f>
        <v>81885</v>
      </c>
      <c r="AF6" s="75">
        <f>PM_Daily_Data!AF6+AE6</f>
        <v>87195</v>
      </c>
      <c r="AG6" s="75">
        <f>PM_Daily_Data!AG6+AF6</f>
        <v>90681</v>
      </c>
      <c r="AH6" s="75">
        <f>PM_Daily_Data!AH6+AG6</f>
        <v>96664</v>
      </c>
      <c r="AI6" s="75">
        <f>PM_Daily_Data!AI6+AH6</f>
        <v>101075</v>
      </c>
      <c r="AJ6" s="75">
        <f>PM_Daily_Data!AJ6+AI6</f>
        <v>113501</v>
      </c>
      <c r="AK6" s="75">
        <f>PM_Daily_Data!AK6+AJ6</f>
        <v>117780</v>
      </c>
      <c r="AL6" s="75">
        <f>PM_Daily_Data!AL6+AK6</f>
        <v>120538</v>
      </c>
      <c r="AM6" s="75">
        <f>PM_Daily_Data!AM6+AL6</f>
        <v>127381</v>
      </c>
      <c r="AN6" s="75">
        <f>PM_Daily_Data!AN6+AM6</f>
        <v>132071</v>
      </c>
      <c r="AO6" s="75">
        <f>PM_Daily_Data!AO6+AN6</f>
        <v>139935</v>
      </c>
      <c r="AP6" s="75">
        <f>PM_Daily_Data!AP6+AO6</f>
        <v>145658</v>
      </c>
      <c r="AQ6" s="75">
        <f>PM_Daily_Data!AQ6+AP6</f>
        <v>157324</v>
      </c>
      <c r="AR6" s="75">
        <f>PM_Daily_Data!AR6+AQ6</f>
        <v>162143</v>
      </c>
    </row>
    <row r="7" spans="1:44" x14ac:dyDescent="0.25">
      <c r="A7" s="1" t="str">
        <f>PM_Daily_Data!A7</f>
        <v>South East</v>
      </c>
      <c r="B7" s="1" t="str">
        <f>PM_Daily_Data!B7</f>
        <v>Surrey Heartlands Health and Care Partnership</v>
      </c>
      <c r="C7" s="75">
        <f>PM_Daily_Data!C7</f>
        <v>0</v>
      </c>
      <c r="D7" s="75">
        <f>PM_Daily_Data!D7+C7</f>
        <v>2</v>
      </c>
      <c r="E7" s="75">
        <f>PM_Daily_Data!E7+D7</f>
        <v>107</v>
      </c>
      <c r="F7" s="75">
        <f>PM_Daily_Data!F7+E7</f>
        <v>110</v>
      </c>
      <c r="G7" s="75">
        <f>PM_Daily_Data!G7+F7</f>
        <v>115</v>
      </c>
      <c r="H7" s="75">
        <f>PM_Daily_Data!H7+G7</f>
        <v>119</v>
      </c>
      <c r="I7" s="75">
        <f>PM_Daily_Data!I7+H7</f>
        <v>127</v>
      </c>
      <c r="J7" s="75">
        <f>PM_Daily_Data!J7+I7</f>
        <v>260</v>
      </c>
      <c r="K7" s="75">
        <f>PM_Daily_Data!K7+J7</f>
        <v>590</v>
      </c>
      <c r="L7" s="75">
        <f>PM_Daily_Data!L7+K7</f>
        <v>1000</v>
      </c>
      <c r="M7" s="75">
        <f>PM_Daily_Data!M7+L7</f>
        <v>1696</v>
      </c>
      <c r="N7" s="75">
        <f>PM_Daily_Data!N7+M7</f>
        <v>2643</v>
      </c>
      <c r="O7" s="75">
        <f>PM_Daily_Data!O7+N7</f>
        <v>4416</v>
      </c>
      <c r="P7" s="75">
        <f>PM_Daily_Data!P7+O7</f>
        <v>4936</v>
      </c>
      <c r="Q7" s="75">
        <f>PM_Daily_Data!Q7+P7</f>
        <v>5958</v>
      </c>
      <c r="R7" s="75">
        <f>PM_Daily_Data!R7+Q7</f>
        <v>7443</v>
      </c>
      <c r="S7" s="75">
        <f>PM_Daily_Data!S7+R7</f>
        <v>9303</v>
      </c>
      <c r="T7" s="75">
        <f>PM_Daily_Data!T7+S7</f>
        <v>12076</v>
      </c>
      <c r="U7" s="75">
        <f>PM_Daily_Data!U7+T7</f>
        <v>15660</v>
      </c>
      <c r="V7" s="75">
        <f>PM_Daily_Data!V7+U7</f>
        <v>19382</v>
      </c>
      <c r="W7" s="75">
        <f>PM_Daily_Data!W7+V7</f>
        <v>21017</v>
      </c>
      <c r="X7" s="75">
        <f>PM_Daily_Data!X7+W7</f>
        <v>23231</v>
      </c>
      <c r="Y7" s="75">
        <f>PM_Daily_Data!Y7+X7</f>
        <v>26254</v>
      </c>
      <c r="Z7" s="75">
        <f>PM_Daily_Data!Z7+Y7</f>
        <v>29739</v>
      </c>
      <c r="AA7" s="75">
        <f>PM_Daily_Data!AA7+Z7</f>
        <v>32946</v>
      </c>
      <c r="AB7" s="75">
        <f>PM_Daily_Data!AB7+AA7</f>
        <v>36798</v>
      </c>
      <c r="AC7" s="75">
        <f>PM_Daily_Data!AC7+AB7</f>
        <v>40397</v>
      </c>
      <c r="AD7" s="75">
        <f>PM_Daily_Data!AD7+AC7</f>
        <v>42916</v>
      </c>
      <c r="AE7" s="75">
        <f>PM_Daily_Data!AE7+AD7</f>
        <v>45118</v>
      </c>
      <c r="AF7" s="75">
        <f>PM_Daily_Data!AF7+AE7</f>
        <v>48543</v>
      </c>
      <c r="AG7" s="75">
        <f>PM_Daily_Data!AG7+AF7</f>
        <v>52391</v>
      </c>
      <c r="AH7" s="75">
        <f>PM_Daily_Data!AH7+AG7</f>
        <v>56093</v>
      </c>
      <c r="AI7" s="75">
        <f>PM_Daily_Data!AI7+AH7</f>
        <v>59747</v>
      </c>
      <c r="AJ7" s="75">
        <f>PM_Daily_Data!AJ7+AI7</f>
        <v>64573</v>
      </c>
      <c r="AK7" s="75">
        <f>PM_Daily_Data!AK7+AJ7</f>
        <v>67364</v>
      </c>
      <c r="AL7" s="75">
        <f>PM_Daily_Data!AL7+AK7</f>
        <v>70274</v>
      </c>
      <c r="AM7" s="75">
        <f>PM_Daily_Data!AM7+AL7</f>
        <v>74794</v>
      </c>
      <c r="AN7" s="75">
        <f>PM_Daily_Data!AN7+AM7</f>
        <v>78766</v>
      </c>
      <c r="AO7" s="75">
        <f>PM_Daily_Data!AO7+AN7</f>
        <v>83736</v>
      </c>
      <c r="AP7" s="75">
        <f>PM_Daily_Data!AP7+AO7</f>
        <v>88279</v>
      </c>
      <c r="AQ7" s="75">
        <f>PM_Daily_Data!AQ7+AP7</f>
        <v>94087</v>
      </c>
      <c r="AR7" s="75">
        <f>PM_Daily_Data!AR7+AQ7</f>
        <v>96603</v>
      </c>
    </row>
    <row r="8" spans="1:44" x14ac:dyDescent="0.25">
      <c r="A8" s="1" t="str">
        <f>PM_Daily_Data!A8</f>
        <v>South East</v>
      </c>
      <c r="B8" s="1" t="str">
        <f>PM_Daily_Data!B8</f>
        <v>Sussex Health and Care Partnership</v>
      </c>
      <c r="C8" s="75">
        <f>PM_Daily_Data!C8</f>
        <v>0</v>
      </c>
      <c r="D8" s="75">
        <f>PM_Daily_Data!D8+C8</f>
        <v>17</v>
      </c>
      <c r="E8" s="75">
        <f>PM_Daily_Data!E8+D8</f>
        <v>28</v>
      </c>
      <c r="F8" s="75">
        <f>PM_Daily_Data!F8+E8</f>
        <v>111</v>
      </c>
      <c r="G8" s="75">
        <f>PM_Daily_Data!G8+F8</f>
        <v>122</v>
      </c>
      <c r="H8" s="75">
        <f>PM_Daily_Data!H8+G8</f>
        <v>148</v>
      </c>
      <c r="I8" s="75">
        <f>PM_Daily_Data!I8+H8</f>
        <v>152</v>
      </c>
      <c r="J8" s="75">
        <f>PM_Daily_Data!J8+I8</f>
        <v>170</v>
      </c>
      <c r="K8" s="75">
        <f>PM_Daily_Data!K8+J8</f>
        <v>663</v>
      </c>
      <c r="L8" s="75">
        <f>PM_Daily_Data!L8+K8</f>
        <v>1201</v>
      </c>
      <c r="M8" s="75">
        <f>PM_Daily_Data!M8+L8</f>
        <v>1796</v>
      </c>
      <c r="N8" s="75">
        <f>PM_Daily_Data!N8+M8</f>
        <v>3693</v>
      </c>
      <c r="O8" s="75">
        <f>PM_Daily_Data!O8+N8</f>
        <v>6242</v>
      </c>
      <c r="P8" s="75">
        <f>PM_Daily_Data!P8+O8</f>
        <v>7288</v>
      </c>
      <c r="Q8" s="75">
        <f>PM_Daily_Data!Q8+P8</f>
        <v>9797</v>
      </c>
      <c r="R8" s="75">
        <f>PM_Daily_Data!R8+Q8</f>
        <v>12835</v>
      </c>
      <c r="S8" s="75">
        <f>PM_Daily_Data!S8+R8</f>
        <v>17427</v>
      </c>
      <c r="T8" s="75">
        <f>PM_Daily_Data!T8+S8</f>
        <v>23141</v>
      </c>
      <c r="U8" s="75">
        <f>PM_Daily_Data!U8+T8</f>
        <v>29368</v>
      </c>
      <c r="V8" s="75">
        <f>PM_Daily_Data!V8+U8</f>
        <v>36905</v>
      </c>
      <c r="W8" s="75">
        <f>PM_Daily_Data!W8+V8</f>
        <v>39572</v>
      </c>
      <c r="X8" s="75">
        <f>PM_Daily_Data!X8+W8</f>
        <v>43770</v>
      </c>
      <c r="Y8" s="75">
        <f>PM_Daily_Data!Y8+X8</f>
        <v>48581</v>
      </c>
      <c r="Z8" s="75">
        <f>PM_Daily_Data!Z8+Y8</f>
        <v>53244</v>
      </c>
      <c r="AA8" s="75">
        <f>PM_Daily_Data!AA8+Z8</f>
        <v>58507</v>
      </c>
      <c r="AB8" s="75">
        <f>PM_Daily_Data!AB8+AA8</f>
        <v>64226</v>
      </c>
      <c r="AC8" s="75">
        <f>PM_Daily_Data!AC8+AB8</f>
        <v>72913</v>
      </c>
      <c r="AD8" s="75">
        <f>PM_Daily_Data!AD8+AC8</f>
        <v>77454</v>
      </c>
      <c r="AE8" s="75">
        <f>PM_Daily_Data!AE8+AD8</f>
        <v>81875</v>
      </c>
      <c r="AF8" s="75">
        <f>PM_Daily_Data!AF8+AE8</f>
        <v>87100</v>
      </c>
      <c r="AG8" s="75">
        <f>PM_Daily_Data!AG8+AF8</f>
        <v>93346</v>
      </c>
      <c r="AH8" s="75">
        <f>PM_Daily_Data!AH8+AG8</f>
        <v>100499</v>
      </c>
      <c r="AI8" s="75">
        <f>PM_Daily_Data!AI8+AH8</f>
        <v>107004</v>
      </c>
      <c r="AJ8" s="75">
        <f>PM_Daily_Data!AJ8+AI8</f>
        <v>117034</v>
      </c>
      <c r="AK8" s="75">
        <f>PM_Daily_Data!AK8+AJ8</f>
        <v>121696</v>
      </c>
      <c r="AL8" s="75">
        <f>PM_Daily_Data!AL8+AK8</f>
        <v>127506</v>
      </c>
      <c r="AM8" s="75">
        <f>PM_Daily_Data!AM8+AL8</f>
        <v>134840</v>
      </c>
      <c r="AN8" s="75">
        <f>PM_Daily_Data!AN8+AM8</f>
        <v>142339</v>
      </c>
      <c r="AO8" s="75">
        <f>PM_Daily_Data!AO8+AN8</f>
        <v>151469</v>
      </c>
      <c r="AP8" s="75">
        <f>PM_Daily_Data!AP8+AO8</f>
        <v>160034</v>
      </c>
      <c r="AQ8" s="75">
        <f>PM_Daily_Data!AQ8+AP8</f>
        <v>171757</v>
      </c>
      <c r="AR8" s="75">
        <f>PM_Daily_Data!AR8+AQ8</f>
        <v>176499</v>
      </c>
    </row>
    <row r="9" spans="1:44" x14ac:dyDescent="0.25">
      <c r="A9" s="1" t="s">
        <v>14</v>
      </c>
      <c r="B9" s="20" t="s">
        <v>43</v>
      </c>
      <c r="C9" s="75">
        <f>SUM(C3:C8)</f>
        <v>13</v>
      </c>
      <c r="D9" s="75">
        <f t="shared" ref="D9" si="0">SUM(D3:D8)</f>
        <v>61</v>
      </c>
      <c r="E9" s="75">
        <f t="shared" ref="E9:F9" si="1">SUM(E3:E8)</f>
        <v>410</v>
      </c>
      <c r="F9" s="75">
        <f t="shared" si="1"/>
        <v>1009</v>
      </c>
      <c r="G9" s="75">
        <f t="shared" ref="G9:Y9" si="2">SUM(G3:G8)</f>
        <v>1618</v>
      </c>
      <c r="H9" s="75">
        <f t="shared" si="2"/>
        <v>2920</v>
      </c>
      <c r="I9" s="75">
        <f t="shared" si="2"/>
        <v>3118</v>
      </c>
      <c r="J9" s="75">
        <f t="shared" si="2"/>
        <v>3704</v>
      </c>
      <c r="K9" s="75">
        <f t="shared" si="2"/>
        <v>5643</v>
      </c>
      <c r="L9" s="75">
        <f t="shared" si="2"/>
        <v>11701</v>
      </c>
      <c r="M9" s="75">
        <f t="shared" si="2"/>
        <v>20310</v>
      </c>
      <c r="N9" s="75">
        <f t="shared" si="2"/>
        <v>32831</v>
      </c>
      <c r="O9" s="75">
        <f t="shared" si="2"/>
        <v>48899</v>
      </c>
      <c r="P9" s="75">
        <f t="shared" si="2"/>
        <v>57085</v>
      </c>
      <c r="Q9" s="75">
        <f t="shared" si="2"/>
        <v>68221</v>
      </c>
      <c r="R9" s="75">
        <f t="shared" si="2"/>
        <v>84908</v>
      </c>
      <c r="S9" s="75">
        <f t="shared" si="2"/>
        <v>102076</v>
      </c>
      <c r="T9" s="75">
        <f t="shared" si="2"/>
        <v>125499</v>
      </c>
      <c r="U9" s="75">
        <f t="shared" si="2"/>
        <v>152173</v>
      </c>
      <c r="V9" s="75">
        <f t="shared" si="2"/>
        <v>191591</v>
      </c>
      <c r="W9" s="75">
        <f t="shared" si="2"/>
        <v>207285</v>
      </c>
      <c r="X9" s="75">
        <f t="shared" si="2"/>
        <v>225359</v>
      </c>
      <c r="Y9" s="75">
        <f t="shared" si="2"/>
        <v>250829</v>
      </c>
      <c r="Z9" s="75">
        <f t="shared" ref="Z9:AR9" si="3">SUM(Z3:Z8)</f>
        <v>277722</v>
      </c>
      <c r="AA9" s="75">
        <f t="shared" si="3"/>
        <v>306657</v>
      </c>
      <c r="AB9" s="75">
        <f t="shared" si="3"/>
        <v>333960</v>
      </c>
      <c r="AC9" s="75">
        <f t="shared" si="3"/>
        <v>375512</v>
      </c>
      <c r="AD9" s="75">
        <f t="shared" si="3"/>
        <v>392074</v>
      </c>
      <c r="AE9" s="75">
        <f t="shared" si="3"/>
        <v>409275</v>
      </c>
      <c r="AF9" s="75">
        <f t="shared" si="3"/>
        <v>437518</v>
      </c>
      <c r="AG9" s="75">
        <f t="shared" si="3"/>
        <v>467251</v>
      </c>
      <c r="AH9" s="75">
        <f t="shared" si="3"/>
        <v>501670</v>
      </c>
      <c r="AI9" s="75">
        <f t="shared" si="3"/>
        <v>530600</v>
      </c>
      <c r="AJ9" s="75">
        <f t="shared" si="3"/>
        <v>580517</v>
      </c>
      <c r="AK9" s="75">
        <f t="shared" si="3"/>
        <v>599576</v>
      </c>
      <c r="AL9" s="75">
        <f t="shared" si="3"/>
        <v>621531</v>
      </c>
      <c r="AM9" s="75">
        <f t="shared" ref="AM9:AP9" si="4">SUM(AM3:AM8)</f>
        <v>654481</v>
      </c>
      <c r="AN9" s="75">
        <f t="shared" si="4"/>
        <v>688680</v>
      </c>
      <c r="AO9" s="75">
        <f t="shared" si="4"/>
        <v>728104</v>
      </c>
      <c r="AP9" s="75">
        <f t="shared" si="4"/>
        <v>766555</v>
      </c>
      <c r="AQ9" s="75">
        <f t="shared" ref="AQ9:AR9" si="5">SUM(AQ3:AQ8)</f>
        <v>820933</v>
      </c>
      <c r="AR9" s="75">
        <f t="shared" si="5"/>
        <v>842245</v>
      </c>
    </row>
    <row r="10" spans="1:44" x14ac:dyDescent="0.25">
      <c r="A10" s="1"/>
      <c r="B10" s="20"/>
      <c r="C10" s="146"/>
      <c r="D10" s="146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</row>
    <row r="11" spans="1:44" x14ac:dyDescent="0.25">
      <c r="A11" s="1"/>
      <c r="B11" s="20"/>
      <c r="C11" s="146"/>
      <c r="D11" s="146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</row>
    <row r="12" spans="1:44" x14ac:dyDescent="0.25">
      <c r="A12" s="1"/>
      <c r="B12" s="20"/>
      <c r="C12" s="146"/>
      <c r="D12" s="146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</row>
    <row r="13" spans="1:44" x14ac:dyDescent="0.25">
      <c r="A13" s="1"/>
      <c r="B13" s="20"/>
      <c r="C13" s="146"/>
      <c r="D13" s="146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</row>
    <row r="14" spans="1:44" x14ac:dyDescent="0.25">
      <c r="A14" s="1"/>
      <c r="B14" s="20"/>
      <c r="C14" s="146"/>
      <c r="D14" s="146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</row>
    <row r="15" spans="1:44" x14ac:dyDescent="0.25">
      <c r="B15" s="20"/>
      <c r="C15" s="146"/>
      <c r="D15" s="146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</row>
    <row r="16" spans="1:44" x14ac:dyDescent="0.25">
      <c r="B16" s="20"/>
      <c r="C16" s="146"/>
      <c r="D16" s="146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</row>
    <row r="17" spans="2:27" x14ac:dyDescent="0.25">
      <c r="B17" s="20"/>
      <c r="C17" s="146"/>
      <c r="D17" s="146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</row>
    <row r="18" spans="2:27" x14ac:dyDescent="0.25">
      <c r="B18" s="20"/>
      <c r="C18" s="146"/>
      <c r="D18" s="146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</row>
    <row r="19" spans="2:27" x14ac:dyDescent="0.25">
      <c r="B19" s="20"/>
      <c r="C19" s="146"/>
      <c r="D19" s="146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</row>
    <row r="20" spans="2:27" x14ac:dyDescent="0.25">
      <c r="B20" s="20"/>
      <c r="C20" s="146"/>
      <c r="D20" s="146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</row>
    <row r="21" spans="2:27" x14ac:dyDescent="0.25">
      <c r="B21" s="20"/>
      <c r="C21" s="146"/>
      <c r="D21" s="146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</row>
    <row r="22" spans="2:27" x14ac:dyDescent="0.25">
      <c r="B22" s="20"/>
      <c r="C22" s="146"/>
      <c r="D22" s="146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</row>
    <row r="23" spans="2:27" x14ac:dyDescent="0.25">
      <c r="B23" s="20"/>
      <c r="C23" s="146"/>
      <c r="D23" s="146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</row>
    <row r="24" spans="2:27" x14ac:dyDescent="0.25">
      <c r="B24" s="20"/>
      <c r="C24" s="146"/>
      <c r="D24" s="146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</row>
    <row r="25" spans="2:27" x14ac:dyDescent="0.25">
      <c r="B25" s="20"/>
      <c r="C25" s="146"/>
      <c r="D25" s="146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</row>
    <row r="26" spans="2:27" x14ac:dyDescent="0.25">
      <c r="B26" s="20"/>
      <c r="C26" s="146"/>
      <c r="D26" s="146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</row>
    <row r="27" spans="2:27" x14ac:dyDescent="0.25">
      <c r="B27" s="20"/>
      <c r="C27" s="146"/>
      <c r="D27" s="146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</row>
    <row r="28" spans="2:27" x14ac:dyDescent="0.25">
      <c r="B28" s="20"/>
      <c r="C28" s="146"/>
      <c r="D28" s="146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</row>
    <row r="29" spans="2:27" x14ac:dyDescent="0.25">
      <c r="B29" s="20"/>
      <c r="C29" s="146"/>
      <c r="D29" s="146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</row>
    <row r="30" spans="2:27" x14ac:dyDescent="0.25">
      <c r="B30" s="20"/>
      <c r="C30" s="146"/>
      <c r="D30" s="146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</row>
    <row r="31" spans="2:27" x14ac:dyDescent="0.25">
      <c r="B31" s="20"/>
      <c r="C31" s="146"/>
      <c r="D31" s="146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</row>
    <row r="32" spans="2:27" s="105" customFormat="1" x14ac:dyDescent="0.25">
      <c r="B32" s="106"/>
      <c r="C32" s="146"/>
      <c r="D32" s="146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</row>
    <row r="33" spans="2:27" s="105" customFormat="1" x14ac:dyDescent="0.25">
      <c r="B33" s="106"/>
      <c r="C33" s="146"/>
      <c r="D33" s="146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</row>
    <row r="34" spans="2:27" s="105" customFormat="1" x14ac:dyDescent="0.25">
      <c r="B34" s="106"/>
      <c r="C34" s="146"/>
      <c r="D34" s="146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</row>
    <row r="35" spans="2:27" s="105" customFormat="1" x14ac:dyDescent="0.25">
      <c r="B35" s="106"/>
      <c r="C35" s="146"/>
      <c r="D35" s="146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</row>
    <row r="36" spans="2:27" s="105" customFormat="1" x14ac:dyDescent="0.25">
      <c r="B36" s="106"/>
      <c r="C36" s="146"/>
      <c r="D36" s="146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</row>
    <row r="37" spans="2:27" s="105" customFormat="1" x14ac:dyDescent="0.25">
      <c r="B37" s="106"/>
      <c r="C37" s="146"/>
      <c r="D37" s="146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</row>
    <row r="38" spans="2:27" x14ac:dyDescent="0.25">
      <c r="B38" s="20"/>
      <c r="C38" s="146"/>
      <c r="D38" s="146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</row>
    <row r="39" spans="2:27" x14ac:dyDescent="0.25">
      <c r="B39" s="20"/>
      <c r="C39" s="146"/>
      <c r="D39" s="146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</row>
    <row r="40" spans="2:27" x14ac:dyDescent="0.25">
      <c r="B40" s="20"/>
      <c r="C40" s="146"/>
      <c r="D40" s="146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</row>
    <row r="41" spans="2:27" x14ac:dyDescent="0.25">
      <c r="B41" s="20"/>
      <c r="C41" s="146"/>
      <c r="D41" s="146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</row>
    <row r="42" spans="2:27" x14ac:dyDescent="0.25">
      <c r="B42" s="20"/>
      <c r="C42" s="146"/>
      <c r="D42" s="146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</row>
    <row r="43" spans="2:27" x14ac:dyDescent="0.25">
      <c r="B43" s="20"/>
      <c r="C43" s="146"/>
      <c r="D43" s="146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</row>
    <row r="44" spans="2:27" x14ac:dyDescent="0.25">
      <c r="B44" s="20"/>
      <c r="C44" s="146"/>
      <c r="D44" s="146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</row>
    <row r="45" spans="2:27" x14ac:dyDescent="0.25">
      <c r="B45" s="20"/>
      <c r="C45" s="146"/>
      <c r="D45" s="146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</row>
  </sheetData>
  <autoFilter ref="A2:Z45" xr:uid="{7866534A-6BF6-4C6C-8B96-1C127D13BF9F}"/>
  <pageMargins left="0.7" right="0.7" top="0.75" bottom="0.75" header="0.3" footer="0.3"/>
  <pageSetup paperSize="9" orientation="portrait" horizontalDpi="90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20CC0-AF38-4379-A681-78D2094C75BF}">
  <sheetPr>
    <tabColor rgb="FFFFFF00"/>
  </sheetPr>
  <dimension ref="A1:AV45"/>
  <sheetViews>
    <sheetView zoomScale="70" zoomScaleNormal="70" workbookViewId="0">
      <pane xSplit="2" ySplit="2" topLeftCell="AD3" activePane="bottomRight" state="frozen"/>
      <selection activeCell="C3" sqref="C3"/>
      <selection pane="topRight" activeCell="C3" sqref="C3"/>
      <selection pane="bottomLeft" activeCell="C3" sqref="C3"/>
      <selection pane="bottomRight" activeCell="C3" sqref="C3"/>
    </sheetView>
  </sheetViews>
  <sheetFormatPr defaultRowHeight="15" x14ac:dyDescent="0.25"/>
  <cols>
    <col min="1" max="1" width="24.5703125" bestFit="1" customWidth="1"/>
    <col min="2" max="2" width="40.7109375" customWidth="1"/>
    <col min="3" max="3" width="17.140625" bestFit="1" customWidth="1"/>
    <col min="4" max="4" width="13.42578125" customWidth="1"/>
    <col min="5" max="10" width="12.140625" bestFit="1" customWidth="1"/>
    <col min="11" max="11" width="11.7109375" bestFit="1" customWidth="1"/>
    <col min="12" max="12" width="12" bestFit="1" customWidth="1"/>
    <col min="13" max="20" width="11.7109375" bestFit="1" customWidth="1"/>
    <col min="21" max="21" width="12.140625" bestFit="1" customWidth="1"/>
    <col min="22" max="22" width="11.7109375" bestFit="1" customWidth="1"/>
    <col min="23" max="27" width="12.140625" bestFit="1" customWidth="1"/>
    <col min="28" max="31" width="12" bestFit="1" customWidth="1"/>
    <col min="32" max="111" width="12" customWidth="1"/>
  </cols>
  <sheetData>
    <row r="1" spans="1:48" x14ac:dyDescent="0.25">
      <c r="A1" t="s">
        <v>119</v>
      </c>
      <c r="C1" s="1"/>
      <c r="D1" s="1"/>
      <c r="E1" s="1"/>
      <c r="F1" s="1"/>
      <c r="G1" s="1"/>
      <c r="H1" s="1"/>
      <c r="I1" s="1">
        <f>C2</f>
        <v>44452</v>
      </c>
      <c r="J1" s="1"/>
      <c r="K1" s="1"/>
      <c r="L1" s="1"/>
      <c r="M1" s="1"/>
      <c r="N1" s="1"/>
      <c r="O1" s="1"/>
      <c r="P1" s="1">
        <f t="shared" ref="P1" si="0">J2</f>
        <v>44459</v>
      </c>
      <c r="Q1" s="1"/>
      <c r="R1" s="1"/>
      <c r="S1" s="1"/>
      <c r="T1" s="1"/>
      <c r="U1" s="1"/>
      <c r="V1" s="1"/>
      <c r="W1" s="1">
        <f t="shared" ref="W1" si="1">Q2</f>
        <v>44466</v>
      </c>
      <c r="X1" s="1"/>
      <c r="Y1" s="1"/>
      <c r="Z1" s="1"/>
      <c r="AA1" s="1"/>
      <c r="AB1" s="1"/>
      <c r="AC1" s="1"/>
      <c r="AD1" s="1">
        <f t="shared" ref="AD1" si="2">X2</f>
        <v>44473</v>
      </c>
      <c r="AE1" s="1"/>
      <c r="AF1" s="1"/>
      <c r="AG1" s="1"/>
      <c r="AH1" s="1"/>
      <c r="AI1" s="1"/>
      <c r="AJ1" s="1"/>
      <c r="AK1" s="1">
        <f t="shared" ref="AK1" si="3">AE2</f>
        <v>44480</v>
      </c>
      <c r="AL1" s="1"/>
      <c r="AM1" s="1"/>
      <c r="AN1" s="1"/>
      <c r="AO1" s="1"/>
      <c r="AP1" s="1"/>
      <c r="AQ1" s="1"/>
      <c r="AR1" s="1">
        <f t="shared" ref="AR1" si="4">AL2</f>
        <v>44487</v>
      </c>
      <c r="AS1" s="1"/>
      <c r="AT1" s="1"/>
      <c r="AU1" s="1"/>
      <c r="AV1" s="1"/>
    </row>
    <row r="2" spans="1:48" s="1" customFormat="1" x14ac:dyDescent="0.25">
      <c r="A2" s="1" t="str">
        <f>PM_Daily_Data!A2</f>
        <v>NHS Region</v>
      </c>
      <c r="B2" s="1" t="str">
        <f>PM_Daily_Data!B2</f>
        <v>STP/ICS Name</v>
      </c>
      <c r="C2" s="1">
        <f>PM_Daily_Data!C2</f>
        <v>44452</v>
      </c>
      <c r="D2" s="1">
        <f>C2+1</f>
        <v>44453</v>
      </c>
      <c r="E2" s="1">
        <f t="shared" ref="E2:AT2" si="5">D2+1</f>
        <v>44454</v>
      </c>
      <c r="F2" s="1">
        <f t="shared" si="5"/>
        <v>44455</v>
      </c>
      <c r="G2" s="1">
        <f t="shared" si="5"/>
        <v>44456</v>
      </c>
      <c r="H2" s="1">
        <f t="shared" si="5"/>
        <v>44457</v>
      </c>
      <c r="I2" s="1">
        <f t="shared" si="5"/>
        <v>44458</v>
      </c>
      <c r="J2" s="1">
        <f t="shared" si="5"/>
        <v>44459</v>
      </c>
      <c r="K2" s="1">
        <f t="shared" si="5"/>
        <v>44460</v>
      </c>
      <c r="L2" s="1">
        <f t="shared" si="5"/>
        <v>44461</v>
      </c>
      <c r="M2" s="1">
        <f t="shared" si="5"/>
        <v>44462</v>
      </c>
      <c r="N2" s="1">
        <f t="shared" si="5"/>
        <v>44463</v>
      </c>
      <c r="O2" s="1">
        <f t="shared" si="5"/>
        <v>44464</v>
      </c>
      <c r="P2" s="1">
        <f t="shared" si="5"/>
        <v>44465</v>
      </c>
      <c r="Q2" s="1">
        <f t="shared" si="5"/>
        <v>44466</v>
      </c>
      <c r="R2" s="1">
        <f t="shared" si="5"/>
        <v>44467</v>
      </c>
      <c r="S2" s="1">
        <f t="shared" si="5"/>
        <v>44468</v>
      </c>
      <c r="T2" s="1">
        <f t="shared" si="5"/>
        <v>44469</v>
      </c>
      <c r="U2" s="1">
        <f t="shared" si="5"/>
        <v>44470</v>
      </c>
      <c r="V2" s="1">
        <f t="shared" si="5"/>
        <v>44471</v>
      </c>
      <c r="W2" s="1">
        <f t="shared" si="5"/>
        <v>44472</v>
      </c>
      <c r="X2" s="1">
        <f t="shared" si="5"/>
        <v>44473</v>
      </c>
      <c r="Y2" s="1">
        <f t="shared" si="5"/>
        <v>44474</v>
      </c>
      <c r="Z2" s="1">
        <f t="shared" si="5"/>
        <v>44475</v>
      </c>
      <c r="AA2" s="1">
        <f t="shared" si="5"/>
        <v>44476</v>
      </c>
      <c r="AB2" s="1">
        <f t="shared" si="5"/>
        <v>44477</v>
      </c>
      <c r="AC2" s="1">
        <f t="shared" si="5"/>
        <v>44478</v>
      </c>
      <c r="AD2" s="1">
        <f t="shared" si="5"/>
        <v>44479</v>
      </c>
      <c r="AE2" s="1">
        <f t="shared" si="5"/>
        <v>44480</v>
      </c>
      <c r="AF2" s="1">
        <f t="shared" si="5"/>
        <v>44481</v>
      </c>
      <c r="AG2" s="1">
        <f t="shared" si="5"/>
        <v>44482</v>
      </c>
      <c r="AH2" s="1">
        <f t="shared" si="5"/>
        <v>44483</v>
      </c>
      <c r="AI2" s="1">
        <f t="shared" si="5"/>
        <v>44484</v>
      </c>
      <c r="AJ2" s="1">
        <f t="shared" si="5"/>
        <v>44485</v>
      </c>
      <c r="AK2" s="1">
        <f t="shared" si="5"/>
        <v>44486</v>
      </c>
      <c r="AL2" s="1">
        <f t="shared" si="5"/>
        <v>44487</v>
      </c>
      <c r="AM2" s="1">
        <f t="shared" si="5"/>
        <v>44488</v>
      </c>
      <c r="AN2" s="1">
        <f t="shared" si="5"/>
        <v>44489</v>
      </c>
      <c r="AO2" s="1">
        <f t="shared" si="5"/>
        <v>44490</v>
      </c>
      <c r="AP2" s="1">
        <f t="shared" si="5"/>
        <v>44491</v>
      </c>
      <c r="AQ2" s="1">
        <f t="shared" si="5"/>
        <v>44492</v>
      </c>
      <c r="AR2" s="1">
        <f t="shared" si="5"/>
        <v>44493</v>
      </c>
    </row>
    <row r="3" spans="1:48" x14ac:dyDescent="0.25">
      <c r="A3" s="1" t="str">
        <f>PM_Daily_Data!A3</f>
        <v>South East</v>
      </c>
      <c r="B3" s="1" t="str">
        <f>PM_Daily_Data!B3</f>
        <v>Buckinghamshire, Oxfordshire and Berkshire West</v>
      </c>
      <c r="C3" s="146"/>
      <c r="D3" s="146"/>
      <c r="E3" s="146"/>
      <c r="F3" s="146"/>
      <c r="G3" s="146"/>
      <c r="H3" s="146"/>
      <c r="I3" s="146"/>
      <c r="J3" s="148">
        <v>51650</v>
      </c>
      <c r="K3" s="148">
        <v>58151</v>
      </c>
      <c r="L3" s="148">
        <v>67370</v>
      </c>
      <c r="M3" s="148">
        <v>58156</v>
      </c>
      <c r="N3" s="148">
        <v>67369</v>
      </c>
      <c r="O3" s="148">
        <v>75048</v>
      </c>
      <c r="P3" s="148">
        <v>77201</v>
      </c>
      <c r="Q3" s="148">
        <v>78443</v>
      </c>
      <c r="R3" s="148">
        <v>84434</v>
      </c>
      <c r="S3" s="148">
        <v>93980</v>
      </c>
      <c r="T3" s="148">
        <v>105419</v>
      </c>
      <c r="U3" s="148">
        <v>112460</v>
      </c>
      <c r="V3" s="148">
        <v>117378</v>
      </c>
      <c r="W3" s="148">
        <v>117848</v>
      </c>
      <c r="X3" s="148">
        <v>119325</v>
      </c>
      <c r="Y3" s="75">
        <v>121123</v>
      </c>
      <c r="Z3" s="148">
        <v>131592</v>
      </c>
      <c r="AA3" s="148">
        <v>142108</v>
      </c>
      <c r="AB3" s="75">
        <v>158551</v>
      </c>
      <c r="AC3" s="148">
        <v>171371</v>
      </c>
      <c r="AD3" s="75">
        <v>174152</v>
      </c>
      <c r="AE3" s="148">
        <v>178082</v>
      </c>
      <c r="AF3" s="75">
        <v>182374</v>
      </c>
      <c r="AG3" s="148">
        <v>190125</v>
      </c>
      <c r="AH3" s="148">
        <v>196769</v>
      </c>
      <c r="AI3" s="75">
        <v>210500</v>
      </c>
      <c r="AJ3" s="75">
        <v>223491</v>
      </c>
      <c r="AK3" s="75">
        <v>225489</v>
      </c>
      <c r="AL3" s="75">
        <v>229772</v>
      </c>
      <c r="AM3" s="75">
        <v>236255</v>
      </c>
      <c r="AN3" s="75">
        <v>243153</v>
      </c>
      <c r="AO3" s="147">
        <v>262989</v>
      </c>
      <c r="AP3">
        <v>262989</v>
      </c>
      <c r="AQ3">
        <v>280914</v>
      </c>
      <c r="AR3">
        <v>284335</v>
      </c>
    </row>
    <row r="4" spans="1:48" x14ac:dyDescent="0.25">
      <c r="A4" s="1" t="str">
        <f>PM_Daily_Data!A4</f>
        <v>South East</v>
      </c>
      <c r="B4" s="1" t="str">
        <f>PM_Daily_Data!B4</f>
        <v>Frimley Health and Care ICS</v>
      </c>
      <c r="C4" s="146"/>
      <c r="D4" s="146"/>
      <c r="E4" s="146"/>
      <c r="F4" s="146"/>
      <c r="G4" s="146"/>
      <c r="H4" s="146"/>
      <c r="I4" s="146"/>
      <c r="J4" s="148">
        <v>24188</v>
      </c>
      <c r="K4" s="148">
        <v>28352</v>
      </c>
      <c r="L4" s="148">
        <v>30789</v>
      </c>
      <c r="M4" s="148">
        <v>28355</v>
      </c>
      <c r="N4" s="148">
        <v>30793</v>
      </c>
      <c r="O4" s="148">
        <v>32502</v>
      </c>
      <c r="P4" s="148">
        <v>33552</v>
      </c>
      <c r="Q4" s="148">
        <v>34123</v>
      </c>
      <c r="R4" s="148">
        <v>37695</v>
      </c>
      <c r="S4" s="148">
        <v>42589</v>
      </c>
      <c r="T4" s="148">
        <v>46941</v>
      </c>
      <c r="U4" s="148">
        <v>48538</v>
      </c>
      <c r="V4" s="148">
        <v>49538</v>
      </c>
      <c r="W4" s="148">
        <v>49564</v>
      </c>
      <c r="X4" s="148">
        <v>49950</v>
      </c>
      <c r="Y4" s="75">
        <v>52554</v>
      </c>
      <c r="Z4" s="148">
        <v>57428</v>
      </c>
      <c r="AA4" s="148">
        <v>61775</v>
      </c>
      <c r="AB4" s="75">
        <v>65835</v>
      </c>
      <c r="AC4" s="148">
        <v>70591</v>
      </c>
      <c r="AD4" s="75">
        <v>71461</v>
      </c>
      <c r="AE4" s="148">
        <v>72672</v>
      </c>
      <c r="AF4" s="75">
        <v>75139</v>
      </c>
      <c r="AG4" s="148">
        <v>78772</v>
      </c>
      <c r="AH4" s="148">
        <v>83167</v>
      </c>
      <c r="AI4" s="75">
        <v>87964</v>
      </c>
      <c r="AJ4" s="75">
        <v>92823</v>
      </c>
      <c r="AK4" s="75">
        <v>93186</v>
      </c>
      <c r="AL4" s="75">
        <v>95117</v>
      </c>
      <c r="AM4" s="75">
        <v>97610</v>
      </c>
      <c r="AN4" s="75">
        <v>101003</v>
      </c>
      <c r="AO4" s="147">
        <v>108279</v>
      </c>
      <c r="AP4">
        <v>108279</v>
      </c>
      <c r="AQ4">
        <v>112502</v>
      </c>
      <c r="AR4">
        <v>114455</v>
      </c>
    </row>
    <row r="5" spans="1:48" x14ac:dyDescent="0.25">
      <c r="A5" s="1" t="str">
        <f>PM_Daily_Data!A5</f>
        <v>South East</v>
      </c>
      <c r="B5" s="1" t="str">
        <f>PM_Daily_Data!B5</f>
        <v>Hampshire and the Isle of Wight</v>
      </c>
      <c r="C5" s="146"/>
      <c r="D5" s="146"/>
      <c r="E5" s="146"/>
      <c r="F5" s="146"/>
      <c r="G5" s="146"/>
      <c r="H5" s="146"/>
      <c r="I5" s="146"/>
      <c r="J5" s="148">
        <v>79300</v>
      </c>
      <c r="K5" s="148">
        <v>88514</v>
      </c>
      <c r="L5" s="148">
        <v>95734</v>
      </c>
      <c r="M5" s="148">
        <v>88518</v>
      </c>
      <c r="N5" s="148">
        <v>95737</v>
      </c>
      <c r="O5" s="148">
        <v>104449</v>
      </c>
      <c r="P5" s="148">
        <v>107841</v>
      </c>
      <c r="Q5" s="148">
        <v>113767</v>
      </c>
      <c r="R5" s="148">
        <v>121613</v>
      </c>
      <c r="S5" s="148">
        <v>131763</v>
      </c>
      <c r="T5" s="148">
        <v>142628</v>
      </c>
      <c r="U5" s="148">
        <v>146202</v>
      </c>
      <c r="V5" s="148">
        <v>150228</v>
      </c>
      <c r="W5" s="148">
        <v>150889</v>
      </c>
      <c r="X5" s="148">
        <v>152122</v>
      </c>
      <c r="Y5" s="75">
        <v>156284</v>
      </c>
      <c r="Z5" s="148">
        <v>164627</v>
      </c>
      <c r="AA5" s="148">
        <v>175690</v>
      </c>
      <c r="AB5" s="75">
        <v>185152</v>
      </c>
      <c r="AC5" s="148">
        <v>197503</v>
      </c>
      <c r="AD5" s="75">
        <v>198933</v>
      </c>
      <c r="AE5" s="148">
        <v>202794</v>
      </c>
      <c r="AF5" s="75">
        <v>208063</v>
      </c>
      <c r="AG5" s="148">
        <v>215223</v>
      </c>
      <c r="AH5" s="148">
        <v>222649</v>
      </c>
      <c r="AI5" s="75">
        <v>237303</v>
      </c>
      <c r="AJ5" s="75">
        <v>254574</v>
      </c>
      <c r="AK5" s="75">
        <v>260678</v>
      </c>
      <c r="AL5" s="75">
        <v>265737</v>
      </c>
      <c r="AM5" s="75">
        <v>274021</v>
      </c>
      <c r="AN5" s="75">
        <v>285049</v>
      </c>
      <c r="AO5" s="147">
        <v>310622</v>
      </c>
      <c r="AP5">
        <v>310622</v>
      </c>
      <c r="AQ5">
        <v>326413</v>
      </c>
      <c r="AR5">
        <v>335308</v>
      </c>
    </row>
    <row r="6" spans="1:48" x14ac:dyDescent="0.25">
      <c r="A6" s="1" t="str">
        <f>PM_Daily_Data!A6</f>
        <v>South East</v>
      </c>
      <c r="B6" s="1" t="str">
        <f>PM_Daily_Data!B6</f>
        <v>Kent and Medway</v>
      </c>
      <c r="C6" s="146"/>
      <c r="D6" s="146"/>
      <c r="E6" s="146"/>
      <c r="F6" s="146"/>
      <c r="G6" s="146"/>
      <c r="H6" s="146"/>
      <c r="I6" s="146"/>
      <c r="J6" s="148">
        <v>80042</v>
      </c>
      <c r="K6" s="148">
        <v>88584</v>
      </c>
      <c r="L6" s="148">
        <v>92880</v>
      </c>
      <c r="M6" s="148">
        <v>88591</v>
      </c>
      <c r="N6" s="148">
        <v>92886</v>
      </c>
      <c r="O6" s="148">
        <v>100044</v>
      </c>
      <c r="P6" s="148">
        <v>103007</v>
      </c>
      <c r="Q6" s="148">
        <v>106366</v>
      </c>
      <c r="R6" s="148">
        <v>112783</v>
      </c>
      <c r="S6" s="148">
        <v>119828</v>
      </c>
      <c r="T6" s="148">
        <v>130140</v>
      </c>
      <c r="U6" s="148">
        <v>134369</v>
      </c>
      <c r="V6" s="148">
        <v>137526</v>
      </c>
      <c r="W6" s="148">
        <v>138140</v>
      </c>
      <c r="X6" s="148">
        <v>138665</v>
      </c>
      <c r="Y6" s="75">
        <v>141943</v>
      </c>
      <c r="Z6" s="148">
        <v>152385</v>
      </c>
      <c r="AA6" s="148">
        <v>162815</v>
      </c>
      <c r="AB6" s="75">
        <v>172025</v>
      </c>
      <c r="AC6" s="148">
        <v>188066</v>
      </c>
      <c r="AD6" s="75">
        <v>192349</v>
      </c>
      <c r="AE6" s="148">
        <v>195964</v>
      </c>
      <c r="AF6" s="75">
        <v>204086</v>
      </c>
      <c r="AG6" s="148">
        <v>209425</v>
      </c>
      <c r="AH6" s="148">
        <v>219765</v>
      </c>
      <c r="AI6" s="75">
        <v>231789</v>
      </c>
      <c r="AJ6" s="75">
        <v>249920</v>
      </c>
      <c r="AK6" s="75">
        <v>255638</v>
      </c>
      <c r="AL6" s="75">
        <v>262110</v>
      </c>
      <c r="AM6" s="75">
        <v>271029</v>
      </c>
      <c r="AN6" s="75">
        <v>281114</v>
      </c>
      <c r="AO6" s="147">
        <v>301930</v>
      </c>
      <c r="AP6">
        <v>301930</v>
      </c>
      <c r="AQ6">
        <v>321778</v>
      </c>
      <c r="AR6">
        <v>330666</v>
      </c>
    </row>
    <row r="7" spans="1:48" x14ac:dyDescent="0.25">
      <c r="A7" s="1" t="str">
        <f>PM_Daily_Data!A7</f>
        <v>South East</v>
      </c>
      <c r="B7" s="1" t="str">
        <f>PM_Daily_Data!B7</f>
        <v>Surrey Heartlands Health and Care Partnership</v>
      </c>
      <c r="C7" s="146"/>
      <c r="D7" s="146"/>
      <c r="E7" s="146"/>
      <c r="F7" s="146"/>
      <c r="G7" s="146"/>
      <c r="H7" s="146"/>
      <c r="I7" s="146"/>
      <c r="J7" s="148">
        <v>28333</v>
      </c>
      <c r="K7" s="148">
        <v>31525</v>
      </c>
      <c r="L7" s="148">
        <v>35164</v>
      </c>
      <c r="M7" s="148">
        <v>31527</v>
      </c>
      <c r="N7" s="148">
        <v>35164</v>
      </c>
      <c r="O7" s="148">
        <v>37183</v>
      </c>
      <c r="P7" s="148">
        <v>38490</v>
      </c>
      <c r="Q7" s="148">
        <v>40526</v>
      </c>
      <c r="R7" s="148">
        <v>45142</v>
      </c>
      <c r="S7" s="148">
        <v>51481</v>
      </c>
      <c r="T7" s="148">
        <v>58754</v>
      </c>
      <c r="U7" s="148">
        <v>63909</v>
      </c>
      <c r="V7" s="148">
        <v>65942</v>
      </c>
      <c r="W7" s="148">
        <v>66490</v>
      </c>
      <c r="X7" s="148">
        <v>67140</v>
      </c>
      <c r="Y7" s="75">
        <v>71401</v>
      </c>
      <c r="Z7" s="148">
        <v>78202</v>
      </c>
      <c r="AA7" s="148">
        <v>85501</v>
      </c>
      <c r="AB7" s="75">
        <v>92441</v>
      </c>
      <c r="AC7" s="148">
        <v>99070</v>
      </c>
      <c r="AD7" s="75">
        <v>104536</v>
      </c>
      <c r="AE7" s="148">
        <v>106540</v>
      </c>
      <c r="AF7" s="75">
        <v>110781</v>
      </c>
      <c r="AG7" s="148">
        <v>116167</v>
      </c>
      <c r="AH7" s="148">
        <v>122450</v>
      </c>
      <c r="AI7" s="75">
        <v>129620</v>
      </c>
      <c r="AJ7" s="75">
        <v>136915</v>
      </c>
      <c r="AK7" s="75">
        <v>143577</v>
      </c>
      <c r="AL7" s="75">
        <v>146772</v>
      </c>
      <c r="AM7" s="75">
        <v>151339</v>
      </c>
      <c r="AN7" s="75">
        <v>157856</v>
      </c>
      <c r="AO7" s="147">
        <v>170038</v>
      </c>
      <c r="AP7">
        <v>170038</v>
      </c>
      <c r="AQ7">
        <v>179002</v>
      </c>
      <c r="AR7">
        <v>184136</v>
      </c>
    </row>
    <row r="8" spans="1:48" x14ac:dyDescent="0.25">
      <c r="A8" s="1" t="str">
        <f>PM_Daily_Data!A8</f>
        <v>South East</v>
      </c>
      <c r="B8" s="1" t="str">
        <f>PM_Daily_Data!B8</f>
        <v>Sussex Health and Care Partnership</v>
      </c>
      <c r="C8" s="146"/>
      <c r="D8" s="146"/>
      <c r="E8" s="146"/>
      <c r="F8" s="146"/>
      <c r="G8" s="146"/>
      <c r="H8" s="146"/>
      <c r="I8" s="146"/>
      <c r="J8" s="148">
        <v>58825</v>
      </c>
      <c r="K8" s="148">
        <v>65717</v>
      </c>
      <c r="L8" s="148">
        <v>73993</v>
      </c>
      <c r="M8" s="148">
        <v>65726</v>
      </c>
      <c r="N8" s="148">
        <v>74001</v>
      </c>
      <c r="O8" s="148">
        <v>83515</v>
      </c>
      <c r="P8" s="148">
        <v>87461</v>
      </c>
      <c r="Q8" s="148">
        <v>92430</v>
      </c>
      <c r="R8" s="148">
        <v>99601</v>
      </c>
      <c r="S8" s="148">
        <v>111503</v>
      </c>
      <c r="T8" s="148">
        <v>122851</v>
      </c>
      <c r="U8" s="148">
        <v>131494</v>
      </c>
      <c r="V8" s="148">
        <v>139383</v>
      </c>
      <c r="W8" s="148">
        <v>139464</v>
      </c>
      <c r="X8" s="148">
        <v>140345</v>
      </c>
      <c r="Y8" s="75">
        <v>144562</v>
      </c>
      <c r="Z8" s="148">
        <v>158046</v>
      </c>
      <c r="AA8" s="148">
        <v>170801</v>
      </c>
      <c r="AB8" s="75">
        <v>184702</v>
      </c>
      <c r="AC8" s="148">
        <v>200319</v>
      </c>
      <c r="AD8" s="75">
        <v>205851</v>
      </c>
      <c r="AE8" s="148">
        <v>209906</v>
      </c>
      <c r="AF8" s="75">
        <v>216666</v>
      </c>
      <c r="AG8" s="148">
        <v>223439</v>
      </c>
      <c r="AH8" s="148">
        <v>236334</v>
      </c>
      <c r="AI8" s="75">
        <v>251665</v>
      </c>
      <c r="AJ8" s="75">
        <v>268044</v>
      </c>
      <c r="AK8" s="75">
        <v>274763</v>
      </c>
      <c r="AL8" s="75">
        <v>281617</v>
      </c>
      <c r="AM8" s="75">
        <v>291407</v>
      </c>
      <c r="AN8" s="75">
        <v>302247</v>
      </c>
      <c r="AO8" s="147">
        <v>330780</v>
      </c>
      <c r="AP8">
        <v>330780</v>
      </c>
      <c r="AQ8">
        <v>348284</v>
      </c>
      <c r="AR8">
        <v>355189</v>
      </c>
    </row>
    <row r="9" spans="1:48" x14ac:dyDescent="0.25">
      <c r="A9" s="1" t="s">
        <v>14</v>
      </c>
      <c r="B9" s="20" t="s">
        <v>17</v>
      </c>
      <c r="C9" s="146"/>
      <c r="D9" s="146"/>
      <c r="E9" s="104"/>
      <c r="F9" s="104"/>
      <c r="G9" s="104"/>
      <c r="H9" s="104"/>
      <c r="I9" s="104"/>
      <c r="J9" s="148">
        <f>SUM(J3:J8)</f>
        <v>322338</v>
      </c>
      <c r="K9" s="148">
        <f t="shared" ref="K9:AR9" si="6">SUM(K3:K8)</f>
        <v>360843</v>
      </c>
      <c r="L9" s="148">
        <f t="shared" si="6"/>
        <v>395930</v>
      </c>
      <c r="M9" s="148">
        <f t="shared" si="6"/>
        <v>360873</v>
      </c>
      <c r="N9" s="148">
        <f t="shared" si="6"/>
        <v>395950</v>
      </c>
      <c r="O9" s="148">
        <f t="shared" si="6"/>
        <v>432741</v>
      </c>
      <c r="P9" s="148">
        <f t="shared" si="6"/>
        <v>447552</v>
      </c>
      <c r="Q9" s="148">
        <f t="shared" si="6"/>
        <v>465655</v>
      </c>
      <c r="R9" s="148">
        <f t="shared" si="6"/>
        <v>501268</v>
      </c>
      <c r="S9" s="148">
        <f t="shared" si="6"/>
        <v>551144</v>
      </c>
      <c r="T9" s="148">
        <f t="shared" si="6"/>
        <v>606733</v>
      </c>
      <c r="U9" s="148">
        <f t="shared" si="6"/>
        <v>636972</v>
      </c>
      <c r="V9" s="148">
        <f t="shared" si="6"/>
        <v>659995</v>
      </c>
      <c r="W9" s="148">
        <f t="shared" si="6"/>
        <v>662395</v>
      </c>
      <c r="X9" s="148">
        <f t="shared" si="6"/>
        <v>667547</v>
      </c>
      <c r="Y9" s="148">
        <f t="shared" si="6"/>
        <v>687867</v>
      </c>
      <c r="Z9" s="148">
        <f t="shared" si="6"/>
        <v>742280</v>
      </c>
      <c r="AA9" s="148">
        <f t="shared" si="6"/>
        <v>798690</v>
      </c>
      <c r="AB9" s="148">
        <f t="shared" si="6"/>
        <v>858706</v>
      </c>
      <c r="AC9" s="148">
        <f t="shared" si="6"/>
        <v>926920</v>
      </c>
      <c r="AD9" s="148">
        <f t="shared" si="6"/>
        <v>947282</v>
      </c>
      <c r="AE9" s="148">
        <f t="shared" si="6"/>
        <v>965958</v>
      </c>
      <c r="AF9" s="148">
        <f t="shared" si="6"/>
        <v>997109</v>
      </c>
      <c r="AG9" s="148">
        <f t="shared" si="6"/>
        <v>1033151</v>
      </c>
      <c r="AH9" s="148">
        <f t="shared" si="6"/>
        <v>1081134</v>
      </c>
      <c r="AI9" s="148">
        <f t="shared" si="6"/>
        <v>1148841</v>
      </c>
      <c r="AJ9" s="148">
        <f t="shared" si="6"/>
        <v>1225767</v>
      </c>
      <c r="AK9" s="148">
        <f t="shared" si="6"/>
        <v>1253331</v>
      </c>
      <c r="AL9" s="148">
        <f t="shared" si="6"/>
        <v>1281125</v>
      </c>
      <c r="AM9" s="148">
        <f t="shared" si="6"/>
        <v>1321661</v>
      </c>
      <c r="AN9" s="148">
        <f t="shared" si="6"/>
        <v>1370422</v>
      </c>
      <c r="AO9" s="148">
        <f t="shared" si="6"/>
        <v>1484638</v>
      </c>
      <c r="AP9" s="148">
        <f t="shared" si="6"/>
        <v>1484638</v>
      </c>
      <c r="AQ9" s="148">
        <f t="shared" si="6"/>
        <v>1568893</v>
      </c>
      <c r="AR9" s="148">
        <f t="shared" si="6"/>
        <v>1604089</v>
      </c>
    </row>
    <row r="10" spans="1:48" x14ac:dyDescent="0.25">
      <c r="A10" s="1"/>
      <c r="B10" s="20"/>
      <c r="C10" s="146"/>
      <c r="D10" s="146"/>
      <c r="E10" s="104"/>
      <c r="F10" s="104"/>
      <c r="G10" s="104"/>
      <c r="H10" s="104"/>
      <c r="I10" s="104"/>
      <c r="J10" s="104"/>
      <c r="K10" s="153">
        <f t="shared" ref="K10:AM10" si="7">(K9-J9)/J9</f>
        <v>0.11945535431751764</v>
      </c>
      <c r="L10" s="153">
        <f t="shared" si="7"/>
        <v>9.723619413429109E-2</v>
      </c>
      <c r="M10" s="153">
        <f t="shared" si="7"/>
        <v>-8.8543429394084813E-2</v>
      </c>
      <c r="N10" s="153">
        <f t="shared" si="7"/>
        <v>9.7200400140769749E-2</v>
      </c>
      <c r="O10" s="153">
        <f t="shared" si="7"/>
        <v>9.2918297764869304E-2</v>
      </c>
      <c r="P10" s="153">
        <f t="shared" si="7"/>
        <v>3.4226015099100851E-2</v>
      </c>
      <c r="Q10" s="153">
        <f t="shared" si="7"/>
        <v>4.0448931073931077E-2</v>
      </c>
      <c r="R10" s="153">
        <f t="shared" si="7"/>
        <v>7.6479367772277762E-2</v>
      </c>
      <c r="S10" s="153">
        <f t="shared" si="7"/>
        <v>9.9499668839822211E-2</v>
      </c>
      <c r="T10" s="153">
        <f t="shared" si="7"/>
        <v>0.10086111796554077</v>
      </c>
      <c r="U10" s="153">
        <f t="shared" si="7"/>
        <v>4.9839056059255059E-2</v>
      </c>
      <c r="V10" s="153">
        <f t="shared" si="7"/>
        <v>3.6144445909710318E-2</v>
      </c>
      <c r="W10" s="153">
        <f t="shared" si="7"/>
        <v>3.6363911847817031E-3</v>
      </c>
      <c r="X10" s="153">
        <f t="shared" si="7"/>
        <v>7.7778364872923252E-3</v>
      </c>
      <c r="Y10" s="153">
        <f t="shared" si="7"/>
        <v>3.0439804238503058E-2</v>
      </c>
      <c r="Z10" s="153">
        <f t="shared" si="7"/>
        <v>7.9103954688915151E-2</v>
      </c>
      <c r="AA10" s="153">
        <f t="shared" si="7"/>
        <v>7.5995581182303179E-2</v>
      </c>
      <c r="AB10" s="153">
        <f t="shared" si="7"/>
        <v>7.5143046739035171E-2</v>
      </c>
      <c r="AC10" s="153">
        <f t="shared" si="7"/>
        <v>7.9438131327835143E-2</v>
      </c>
      <c r="AD10" s="153">
        <f t="shared" si="7"/>
        <v>2.1967375825313943E-2</v>
      </c>
      <c r="AE10" s="153">
        <f t="shared" si="7"/>
        <v>1.9715354033962431E-2</v>
      </c>
      <c r="AF10" s="153">
        <f t="shared" si="7"/>
        <v>3.224881413063508E-2</v>
      </c>
      <c r="AG10" s="153">
        <f t="shared" si="7"/>
        <v>3.6146499530141638E-2</v>
      </c>
      <c r="AH10" s="153">
        <f t="shared" si="7"/>
        <v>4.6443356295449552E-2</v>
      </c>
      <c r="AI10" s="153">
        <f t="shared" si="7"/>
        <v>6.2625909461731855E-2</v>
      </c>
      <c r="AJ10" s="153">
        <f t="shared" si="7"/>
        <v>6.6959657602749204E-2</v>
      </c>
      <c r="AK10" s="153">
        <f t="shared" si="7"/>
        <v>2.248714478363343E-2</v>
      </c>
      <c r="AL10" s="153">
        <f t="shared" si="7"/>
        <v>2.2176105115089311E-2</v>
      </c>
      <c r="AM10" s="153">
        <f t="shared" si="7"/>
        <v>3.164094057956874E-2</v>
      </c>
    </row>
    <row r="11" spans="1:48" x14ac:dyDescent="0.25">
      <c r="A11" s="1"/>
      <c r="B11" s="20"/>
      <c r="C11" s="146"/>
      <c r="D11" s="146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</row>
    <row r="12" spans="1:48" x14ac:dyDescent="0.25">
      <c r="A12" s="1"/>
      <c r="B12" s="20"/>
      <c r="C12" s="146"/>
      <c r="D12" s="146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</row>
    <row r="13" spans="1:48" x14ac:dyDescent="0.25">
      <c r="A13" s="1"/>
      <c r="B13" s="20"/>
      <c r="C13" s="146"/>
      <c r="D13" s="146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</row>
    <row r="14" spans="1:48" x14ac:dyDescent="0.25">
      <c r="A14" s="1"/>
      <c r="B14" s="20"/>
      <c r="C14" s="146"/>
      <c r="D14" s="146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</row>
    <row r="15" spans="1:48" x14ac:dyDescent="0.25">
      <c r="B15" s="20"/>
      <c r="C15" s="146"/>
      <c r="D15" s="146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</row>
    <row r="16" spans="1:48" x14ac:dyDescent="0.25">
      <c r="B16" s="20"/>
      <c r="C16" s="146"/>
      <c r="D16" s="146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</row>
    <row r="17" spans="2:27" x14ac:dyDescent="0.25">
      <c r="B17" s="20"/>
      <c r="C17" s="146"/>
      <c r="D17" s="146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</row>
    <row r="18" spans="2:27" x14ac:dyDescent="0.25">
      <c r="B18" s="20"/>
      <c r="C18" s="146"/>
      <c r="D18" s="146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</row>
    <row r="19" spans="2:27" x14ac:dyDescent="0.25">
      <c r="B19" s="20"/>
      <c r="C19" s="146"/>
      <c r="D19" s="146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</row>
    <row r="20" spans="2:27" x14ac:dyDescent="0.25">
      <c r="B20" s="20"/>
      <c r="C20" s="146"/>
      <c r="D20" s="146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</row>
    <row r="21" spans="2:27" x14ac:dyDescent="0.25">
      <c r="B21" s="20"/>
      <c r="C21" s="146"/>
      <c r="D21" s="146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</row>
    <row r="22" spans="2:27" x14ac:dyDescent="0.25">
      <c r="B22" s="20"/>
      <c r="C22" s="146"/>
      <c r="D22" s="146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</row>
    <row r="23" spans="2:27" x14ac:dyDescent="0.25">
      <c r="B23" s="20"/>
      <c r="C23" s="146"/>
      <c r="D23" s="146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</row>
    <row r="24" spans="2:27" x14ac:dyDescent="0.25">
      <c r="B24" s="20"/>
      <c r="C24" s="146"/>
      <c r="D24" s="146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</row>
    <row r="25" spans="2:27" x14ac:dyDescent="0.25">
      <c r="B25" s="20"/>
      <c r="C25" s="146"/>
      <c r="D25" s="146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</row>
    <row r="26" spans="2:27" x14ac:dyDescent="0.25">
      <c r="B26" s="20"/>
      <c r="C26" s="146"/>
      <c r="D26" s="146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</row>
    <row r="27" spans="2:27" x14ac:dyDescent="0.25">
      <c r="B27" s="20"/>
      <c r="C27" s="146"/>
      <c r="D27" s="146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</row>
    <row r="28" spans="2:27" x14ac:dyDescent="0.25">
      <c r="B28" s="20"/>
      <c r="C28" s="146"/>
      <c r="D28" s="146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</row>
    <row r="29" spans="2:27" x14ac:dyDescent="0.25">
      <c r="B29" s="20"/>
      <c r="C29" s="146"/>
      <c r="D29" s="146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</row>
    <row r="30" spans="2:27" x14ac:dyDescent="0.25">
      <c r="B30" s="20"/>
      <c r="C30" s="146"/>
      <c r="D30" s="146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</row>
    <row r="31" spans="2:27" x14ac:dyDescent="0.25">
      <c r="B31" s="20"/>
      <c r="C31" s="146"/>
      <c r="D31" s="146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</row>
    <row r="32" spans="2:27" s="105" customFormat="1" x14ac:dyDescent="0.25">
      <c r="B32" s="106"/>
      <c r="C32" s="146"/>
      <c r="D32" s="146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</row>
    <row r="33" spans="2:27" s="105" customFormat="1" x14ac:dyDescent="0.25">
      <c r="B33" s="106"/>
      <c r="C33" s="146"/>
      <c r="D33" s="146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</row>
    <row r="34" spans="2:27" s="105" customFormat="1" x14ac:dyDescent="0.25">
      <c r="B34" s="106"/>
      <c r="C34" s="146"/>
      <c r="D34" s="146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</row>
    <row r="35" spans="2:27" s="105" customFormat="1" x14ac:dyDescent="0.25">
      <c r="B35" s="106"/>
      <c r="C35" s="146"/>
      <c r="D35" s="146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</row>
    <row r="36" spans="2:27" s="105" customFormat="1" x14ac:dyDescent="0.25">
      <c r="B36" s="106"/>
      <c r="C36" s="146"/>
      <c r="D36" s="146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</row>
    <row r="37" spans="2:27" s="105" customFormat="1" x14ac:dyDescent="0.25">
      <c r="B37" s="106"/>
      <c r="C37" s="146"/>
      <c r="D37" s="146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</row>
    <row r="38" spans="2:27" x14ac:dyDescent="0.25">
      <c r="B38" s="20"/>
      <c r="C38" s="146"/>
      <c r="D38" s="146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</row>
    <row r="39" spans="2:27" x14ac:dyDescent="0.25">
      <c r="B39" s="20"/>
      <c r="C39" s="146"/>
      <c r="D39" s="146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</row>
    <row r="40" spans="2:27" x14ac:dyDescent="0.25">
      <c r="B40" s="20"/>
      <c r="C40" s="146"/>
      <c r="D40" s="146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</row>
    <row r="41" spans="2:27" x14ac:dyDescent="0.25">
      <c r="B41" s="20"/>
      <c r="C41" s="146"/>
      <c r="D41" s="146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</row>
    <row r="42" spans="2:27" x14ac:dyDescent="0.25">
      <c r="B42" s="20"/>
      <c r="C42" s="146"/>
      <c r="D42" s="146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</row>
    <row r="43" spans="2:27" x14ac:dyDescent="0.25">
      <c r="B43" s="20"/>
      <c r="C43" s="146"/>
      <c r="D43" s="146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</row>
    <row r="44" spans="2:27" x14ac:dyDescent="0.25">
      <c r="B44" s="20"/>
      <c r="C44" s="146"/>
      <c r="D44" s="146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</row>
    <row r="45" spans="2:27" x14ac:dyDescent="0.25">
      <c r="B45" s="20"/>
      <c r="C45" s="146"/>
      <c r="D45" s="146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D5300-1A76-49C2-A54C-11D7D316373E}">
  <dimension ref="A1:V46"/>
  <sheetViews>
    <sheetView topLeftCell="B1" zoomScale="90" zoomScaleNormal="90" workbookViewId="0">
      <selection activeCell="C3" sqref="C3"/>
    </sheetView>
  </sheetViews>
  <sheetFormatPr defaultRowHeight="15" x14ac:dyDescent="0.25"/>
  <cols>
    <col min="1" max="1" width="49.28515625" bestFit="1" customWidth="1"/>
    <col min="2" max="2" width="46.5703125" bestFit="1" customWidth="1"/>
    <col min="3" max="22" width="11.85546875" bestFit="1" customWidth="1"/>
  </cols>
  <sheetData>
    <row r="1" spans="1:22" x14ac:dyDescent="0.25">
      <c r="B1" t="s">
        <v>130</v>
      </c>
    </row>
    <row r="4" spans="1:22" s="154" customFormat="1" x14ac:dyDescent="0.25">
      <c r="C4" s="154">
        <v>44459</v>
      </c>
      <c r="D4" s="154">
        <v>44466</v>
      </c>
      <c r="E4" s="154">
        <v>44473</v>
      </c>
      <c r="F4" s="154">
        <v>44480</v>
      </c>
      <c r="G4" s="154">
        <v>44487</v>
      </c>
      <c r="H4" s="154">
        <v>44494</v>
      </c>
      <c r="I4" s="154">
        <v>44501</v>
      </c>
      <c r="J4" s="154">
        <v>44508</v>
      </c>
      <c r="K4" s="154">
        <v>44515</v>
      </c>
      <c r="L4" s="154">
        <v>44522</v>
      </c>
      <c r="M4" s="154">
        <v>44529</v>
      </c>
      <c r="N4" s="154">
        <v>44536</v>
      </c>
      <c r="O4" s="154">
        <v>44543</v>
      </c>
      <c r="P4" s="154">
        <v>44550</v>
      </c>
      <c r="Q4" s="154">
        <v>44557</v>
      </c>
      <c r="R4" s="154">
        <v>44564</v>
      </c>
      <c r="S4" s="154">
        <v>44571</v>
      </c>
      <c r="T4" s="154">
        <v>44578</v>
      </c>
      <c r="U4" s="154">
        <v>44585</v>
      </c>
      <c r="V4" s="154">
        <v>44592</v>
      </c>
    </row>
    <row r="5" spans="1:22" x14ac:dyDescent="0.25">
      <c r="A5" s="2" t="s">
        <v>126</v>
      </c>
      <c r="B5" t="s">
        <v>10</v>
      </c>
      <c r="C5" s="155">
        <v>77663</v>
      </c>
      <c r="D5" s="155">
        <v>40490</v>
      </c>
      <c r="E5" s="155">
        <v>56177</v>
      </c>
      <c r="F5" s="155">
        <v>51160</v>
      </c>
      <c r="G5" s="155">
        <v>58661</v>
      </c>
      <c r="H5" s="155">
        <v>58604</v>
      </c>
      <c r="I5" s="155">
        <v>55187</v>
      </c>
      <c r="J5" s="155">
        <v>65256</v>
      </c>
      <c r="K5" s="155">
        <v>72440</v>
      </c>
      <c r="L5" s="155">
        <v>81118</v>
      </c>
      <c r="M5" s="155">
        <v>51819</v>
      </c>
      <c r="N5" s="155">
        <v>36291</v>
      </c>
      <c r="O5" s="155">
        <v>21152</v>
      </c>
      <c r="P5" s="155">
        <v>7144</v>
      </c>
      <c r="Q5" s="155">
        <v>3601</v>
      </c>
      <c r="R5" s="155">
        <v>3519</v>
      </c>
      <c r="S5" s="155">
        <v>4058</v>
      </c>
      <c r="T5" s="155">
        <v>2730</v>
      </c>
      <c r="U5" s="155">
        <v>2370</v>
      </c>
      <c r="V5" s="155">
        <v>2570</v>
      </c>
    </row>
    <row r="6" spans="1:22" x14ac:dyDescent="0.25">
      <c r="A6" s="2" t="s">
        <v>126</v>
      </c>
      <c r="B6" t="s">
        <v>2</v>
      </c>
      <c r="C6" s="155">
        <v>33805</v>
      </c>
      <c r="D6" s="155">
        <v>15970</v>
      </c>
      <c r="E6" s="155">
        <v>21835</v>
      </c>
      <c r="F6" s="155">
        <v>21576</v>
      </c>
      <c r="G6" s="155">
        <v>21241</v>
      </c>
      <c r="H6" s="155">
        <v>23297</v>
      </c>
      <c r="I6" s="155">
        <v>22054</v>
      </c>
      <c r="J6" s="155">
        <v>23552</v>
      </c>
      <c r="K6" s="155">
        <v>29183</v>
      </c>
      <c r="L6" s="155">
        <v>29344</v>
      </c>
      <c r="M6" s="155">
        <v>25795</v>
      </c>
      <c r="N6" s="155">
        <v>15062</v>
      </c>
      <c r="O6" s="155">
        <v>8032</v>
      </c>
      <c r="P6" s="155">
        <v>3645</v>
      </c>
      <c r="Q6" s="155">
        <v>2085</v>
      </c>
      <c r="R6" s="155">
        <v>1591</v>
      </c>
      <c r="S6" s="155">
        <v>1304</v>
      </c>
      <c r="T6" s="155">
        <v>1088</v>
      </c>
      <c r="U6" s="155">
        <v>1075</v>
      </c>
      <c r="V6" s="155">
        <v>1106</v>
      </c>
    </row>
    <row r="7" spans="1:22" x14ac:dyDescent="0.25">
      <c r="A7" s="2" t="s">
        <v>126</v>
      </c>
      <c r="B7" t="s">
        <v>6</v>
      </c>
      <c r="C7" s="155">
        <v>108239</v>
      </c>
      <c r="D7" s="155">
        <v>42912</v>
      </c>
      <c r="E7" s="155">
        <v>47903</v>
      </c>
      <c r="F7" s="155">
        <v>61624</v>
      </c>
      <c r="G7" s="155">
        <v>74492</v>
      </c>
      <c r="H7" s="155">
        <v>79625</v>
      </c>
      <c r="I7" s="155">
        <v>64917</v>
      </c>
      <c r="J7" s="155">
        <v>65974</v>
      </c>
      <c r="K7" s="155">
        <v>67745</v>
      </c>
      <c r="L7" s="155">
        <v>72446</v>
      </c>
      <c r="M7" s="155">
        <v>62793</v>
      </c>
      <c r="N7" s="155">
        <v>46932</v>
      </c>
      <c r="O7" s="155">
        <v>18990</v>
      </c>
      <c r="P7" s="155">
        <v>6609</v>
      </c>
      <c r="Q7" s="155">
        <v>3798</v>
      </c>
      <c r="R7" s="155">
        <v>3025</v>
      </c>
      <c r="S7" s="155">
        <v>3152</v>
      </c>
      <c r="T7" s="155">
        <v>2750</v>
      </c>
      <c r="U7" s="155">
        <v>2322</v>
      </c>
      <c r="V7" s="155">
        <v>1757</v>
      </c>
    </row>
    <row r="8" spans="1:22" x14ac:dyDescent="0.25">
      <c r="A8" s="2" t="s">
        <v>126</v>
      </c>
      <c r="B8" t="s">
        <v>12</v>
      </c>
      <c r="C8" s="155">
        <v>103613</v>
      </c>
      <c r="D8" s="155">
        <v>34907</v>
      </c>
      <c r="E8" s="155">
        <v>53943</v>
      </c>
      <c r="F8" s="155">
        <v>63177</v>
      </c>
      <c r="G8" s="155">
        <v>74909</v>
      </c>
      <c r="H8" s="155">
        <v>77555</v>
      </c>
      <c r="I8" s="155">
        <v>67775</v>
      </c>
      <c r="J8" s="155">
        <v>61369</v>
      </c>
      <c r="K8" s="155">
        <v>60858</v>
      </c>
      <c r="L8" s="155">
        <v>59824</v>
      </c>
      <c r="M8" s="155">
        <v>68443</v>
      </c>
      <c r="N8" s="155">
        <v>42986</v>
      </c>
      <c r="O8" s="155">
        <v>20794</v>
      </c>
      <c r="P8" s="155">
        <v>8023</v>
      </c>
      <c r="Q8" s="155">
        <v>5149</v>
      </c>
      <c r="R8" s="155">
        <v>4342</v>
      </c>
      <c r="S8" s="155">
        <v>3732</v>
      </c>
      <c r="T8" s="155">
        <v>3125</v>
      </c>
      <c r="U8" s="155">
        <v>2679</v>
      </c>
      <c r="V8" s="155">
        <v>2784</v>
      </c>
    </row>
    <row r="9" spans="1:22" x14ac:dyDescent="0.25">
      <c r="A9" s="2" t="s">
        <v>126</v>
      </c>
      <c r="B9" t="s">
        <v>8</v>
      </c>
      <c r="C9" s="155">
        <v>38704</v>
      </c>
      <c r="D9" s="155">
        <v>27940</v>
      </c>
      <c r="E9" s="155">
        <v>37955</v>
      </c>
      <c r="F9" s="155">
        <v>38978</v>
      </c>
      <c r="G9" s="155">
        <v>40440</v>
      </c>
      <c r="H9" s="155">
        <v>41538</v>
      </c>
      <c r="I9" s="155">
        <v>33091</v>
      </c>
      <c r="J9" s="155">
        <v>35099</v>
      </c>
      <c r="K9" s="155">
        <v>39659</v>
      </c>
      <c r="L9" s="155">
        <v>39685</v>
      </c>
      <c r="M9" s="155">
        <v>32140</v>
      </c>
      <c r="N9" s="155">
        <v>21106</v>
      </c>
      <c r="O9" s="155">
        <v>10216</v>
      </c>
      <c r="P9" s="155">
        <v>4602</v>
      </c>
      <c r="Q9" s="155">
        <v>3107</v>
      </c>
      <c r="R9" s="155">
        <v>1962</v>
      </c>
      <c r="S9" s="155">
        <v>1821</v>
      </c>
      <c r="T9" s="155">
        <v>1465</v>
      </c>
      <c r="U9" s="155">
        <v>1340</v>
      </c>
      <c r="V9" s="155">
        <v>1429</v>
      </c>
    </row>
    <row r="10" spans="1:22" x14ac:dyDescent="0.25">
      <c r="A10" s="2" t="s">
        <v>126</v>
      </c>
      <c r="B10" t="s">
        <v>4</v>
      </c>
      <c r="C10" s="155">
        <v>87943</v>
      </c>
      <c r="D10" s="155">
        <v>51798</v>
      </c>
      <c r="E10" s="155">
        <v>66220</v>
      </c>
      <c r="F10" s="155">
        <v>68806</v>
      </c>
      <c r="G10" s="155">
        <v>79995</v>
      </c>
      <c r="H10" s="155">
        <v>72545</v>
      </c>
      <c r="I10" s="155">
        <v>68881</v>
      </c>
      <c r="J10" s="155">
        <v>65288</v>
      </c>
      <c r="K10" s="155">
        <v>67521</v>
      </c>
      <c r="L10" s="155">
        <v>54231</v>
      </c>
      <c r="M10" s="155">
        <v>42358</v>
      </c>
      <c r="N10" s="155">
        <v>40509</v>
      </c>
      <c r="O10" s="155">
        <v>20233</v>
      </c>
      <c r="P10" s="155">
        <v>5905</v>
      </c>
      <c r="Q10" s="155">
        <v>4815</v>
      </c>
      <c r="R10" s="155">
        <v>3470</v>
      </c>
      <c r="S10" s="155">
        <v>3535</v>
      </c>
      <c r="T10" s="155">
        <v>2588</v>
      </c>
      <c r="U10" s="155">
        <v>2135</v>
      </c>
      <c r="V10" s="155">
        <v>1783</v>
      </c>
    </row>
    <row r="11" spans="1:22" x14ac:dyDescent="0.25">
      <c r="A11" s="2" t="s">
        <v>126</v>
      </c>
      <c r="B11" t="s">
        <v>17</v>
      </c>
      <c r="C11" s="155">
        <f>SUM(C5:C10)</f>
        <v>449967</v>
      </c>
      <c r="D11" s="155">
        <f t="shared" ref="D11:V11" si="0">SUM(D5:D10)</f>
        <v>214017</v>
      </c>
      <c r="E11" s="155">
        <f t="shared" si="0"/>
        <v>284033</v>
      </c>
      <c r="F11" s="155">
        <f t="shared" si="0"/>
        <v>305321</v>
      </c>
      <c r="G11" s="155">
        <f t="shared" si="0"/>
        <v>349738</v>
      </c>
      <c r="H11" s="155">
        <f t="shared" si="0"/>
        <v>353164</v>
      </c>
      <c r="I11" s="155">
        <f t="shared" si="0"/>
        <v>311905</v>
      </c>
      <c r="J11" s="155">
        <f t="shared" si="0"/>
        <v>316538</v>
      </c>
      <c r="K11" s="155">
        <f t="shared" si="0"/>
        <v>337406</v>
      </c>
      <c r="L11" s="155">
        <f t="shared" si="0"/>
        <v>336648</v>
      </c>
      <c r="M11" s="155">
        <f t="shared" si="0"/>
        <v>283348</v>
      </c>
      <c r="N11" s="155">
        <f t="shared" si="0"/>
        <v>202886</v>
      </c>
      <c r="O11" s="155">
        <f t="shared" si="0"/>
        <v>99417</v>
      </c>
      <c r="P11" s="155">
        <f t="shared" si="0"/>
        <v>35928</v>
      </c>
      <c r="Q11" s="155">
        <f t="shared" si="0"/>
        <v>22555</v>
      </c>
      <c r="R11" s="155">
        <f t="shared" si="0"/>
        <v>17909</v>
      </c>
      <c r="S11" s="155">
        <f t="shared" si="0"/>
        <v>17602</v>
      </c>
      <c r="T11" s="155">
        <f t="shared" si="0"/>
        <v>13746</v>
      </c>
      <c r="U11" s="155">
        <f t="shared" si="0"/>
        <v>11921</v>
      </c>
      <c r="V11" s="155">
        <f t="shared" si="0"/>
        <v>11429</v>
      </c>
    </row>
    <row r="12" spans="1:22" x14ac:dyDescent="0.25">
      <c r="A12" s="2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</row>
    <row r="13" spans="1:22" x14ac:dyDescent="0.25">
      <c r="A13" s="2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</row>
    <row r="14" spans="1:22" x14ac:dyDescent="0.25">
      <c r="A14" s="2" t="s">
        <v>129</v>
      </c>
      <c r="B14" t="s">
        <v>10</v>
      </c>
      <c r="C14" s="155">
        <f>C5</f>
        <v>77663</v>
      </c>
      <c r="D14" s="155">
        <f>D5+C14</f>
        <v>118153</v>
      </c>
      <c r="E14" s="155">
        <f t="shared" ref="E14:F14" si="1">E5+D14</f>
        <v>174330</v>
      </c>
      <c r="F14" s="155">
        <f t="shared" si="1"/>
        <v>225490</v>
      </c>
      <c r="G14" s="155">
        <f t="shared" ref="G14:V14" si="2">G5+F14</f>
        <v>284151</v>
      </c>
      <c r="H14" s="155">
        <f t="shared" si="2"/>
        <v>342755</v>
      </c>
      <c r="I14" s="155">
        <f t="shared" si="2"/>
        <v>397942</v>
      </c>
      <c r="J14" s="155">
        <f t="shared" si="2"/>
        <v>463198</v>
      </c>
      <c r="K14" s="155">
        <f t="shared" si="2"/>
        <v>535638</v>
      </c>
      <c r="L14" s="155">
        <f t="shared" si="2"/>
        <v>616756</v>
      </c>
      <c r="M14" s="155">
        <f t="shared" si="2"/>
        <v>668575</v>
      </c>
      <c r="N14" s="155">
        <f t="shared" si="2"/>
        <v>704866</v>
      </c>
      <c r="O14" s="155">
        <f t="shared" si="2"/>
        <v>726018</v>
      </c>
      <c r="P14" s="155">
        <f t="shared" si="2"/>
        <v>733162</v>
      </c>
      <c r="Q14" s="155">
        <f t="shared" si="2"/>
        <v>736763</v>
      </c>
      <c r="R14" s="155">
        <f t="shared" si="2"/>
        <v>740282</v>
      </c>
      <c r="S14" s="155">
        <f t="shared" si="2"/>
        <v>744340</v>
      </c>
      <c r="T14" s="155">
        <f t="shared" si="2"/>
        <v>747070</v>
      </c>
      <c r="U14" s="155">
        <f t="shared" si="2"/>
        <v>749440</v>
      </c>
      <c r="V14" s="155">
        <f t="shared" si="2"/>
        <v>752010</v>
      </c>
    </row>
    <row r="15" spans="1:22" x14ac:dyDescent="0.25">
      <c r="A15" s="2" t="s">
        <v>129</v>
      </c>
      <c r="B15" t="s">
        <v>2</v>
      </c>
      <c r="C15" s="155">
        <f t="shared" ref="C15:C20" si="3">C6</f>
        <v>33805</v>
      </c>
      <c r="D15" s="155">
        <f t="shared" ref="D15:F15" si="4">D6+C15</f>
        <v>49775</v>
      </c>
      <c r="E15" s="155">
        <f t="shared" si="4"/>
        <v>71610</v>
      </c>
      <c r="F15" s="155">
        <f t="shared" si="4"/>
        <v>93186</v>
      </c>
      <c r="G15" s="155">
        <f t="shared" ref="G15:V15" si="5">G6+F15</f>
        <v>114427</v>
      </c>
      <c r="H15" s="155">
        <f t="shared" si="5"/>
        <v>137724</v>
      </c>
      <c r="I15" s="155">
        <f t="shared" si="5"/>
        <v>159778</v>
      </c>
      <c r="J15" s="155">
        <f t="shared" si="5"/>
        <v>183330</v>
      </c>
      <c r="K15" s="155">
        <f t="shared" si="5"/>
        <v>212513</v>
      </c>
      <c r="L15" s="155">
        <f t="shared" si="5"/>
        <v>241857</v>
      </c>
      <c r="M15" s="155">
        <f t="shared" si="5"/>
        <v>267652</v>
      </c>
      <c r="N15" s="155">
        <f t="shared" si="5"/>
        <v>282714</v>
      </c>
      <c r="O15" s="155">
        <f t="shared" si="5"/>
        <v>290746</v>
      </c>
      <c r="P15" s="155">
        <f t="shared" si="5"/>
        <v>294391</v>
      </c>
      <c r="Q15" s="155">
        <f t="shared" si="5"/>
        <v>296476</v>
      </c>
      <c r="R15" s="155">
        <f t="shared" si="5"/>
        <v>298067</v>
      </c>
      <c r="S15" s="155">
        <f t="shared" si="5"/>
        <v>299371</v>
      </c>
      <c r="T15" s="155">
        <f t="shared" si="5"/>
        <v>300459</v>
      </c>
      <c r="U15" s="155">
        <f t="shared" si="5"/>
        <v>301534</v>
      </c>
      <c r="V15" s="155">
        <f t="shared" si="5"/>
        <v>302640</v>
      </c>
    </row>
    <row r="16" spans="1:22" x14ac:dyDescent="0.25">
      <c r="A16" s="2" t="s">
        <v>129</v>
      </c>
      <c r="B16" t="s">
        <v>6</v>
      </c>
      <c r="C16" s="155">
        <f t="shared" si="3"/>
        <v>108239</v>
      </c>
      <c r="D16" s="155">
        <f t="shared" ref="D16:F16" si="6">D7+C16</f>
        <v>151151</v>
      </c>
      <c r="E16" s="155">
        <f t="shared" si="6"/>
        <v>199054</v>
      </c>
      <c r="F16" s="155">
        <f t="shared" si="6"/>
        <v>260678</v>
      </c>
      <c r="G16" s="155">
        <f t="shared" ref="G16:V16" si="7">G7+F16</f>
        <v>335170</v>
      </c>
      <c r="H16" s="155">
        <f t="shared" si="7"/>
        <v>414795</v>
      </c>
      <c r="I16" s="155">
        <f t="shared" si="7"/>
        <v>479712</v>
      </c>
      <c r="J16" s="155">
        <f t="shared" si="7"/>
        <v>545686</v>
      </c>
      <c r="K16" s="155">
        <f t="shared" si="7"/>
        <v>613431</v>
      </c>
      <c r="L16" s="155">
        <f t="shared" si="7"/>
        <v>685877</v>
      </c>
      <c r="M16" s="155">
        <f t="shared" si="7"/>
        <v>748670</v>
      </c>
      <c r="N16" s="155">
        <f t="shared" si="7"/>
        <v>795602</v>
      </c>
      <c r="O16" s="155">
        <f t="shared" si="7"/>
        <v>814592</v>
      </c>
      <c r="P16" s="155">
        <f t="shared" si="7"/>
        <v>821201</v>
      </c>
      <c r="Q16" s="155">
        <f t="shared" si="7"/>
        <v>824999</v>
      </c>
      <c r="R16" s="155">
        <f t="shared" si="7"/>
        <v>828024</v>
      </c>
      <c r="S16" s="155">
        <f t="shared" si="7"/>
        <v>831176</v>
      </c>
      <c r="T16" s="155">
        <f t="shared" si="7"/>
        <v>833926</v>
      </c>
      <c r="U16" s="155">
        <f t="shared" si="7"/>
        <v>836248</v>
      </c>
      <c r="V16" s="155">
        <f t="shared" si="7"/>
        <v>838005</v>
      </c>
    </row>
    <row r="17" spans="1:22" x14ac:dyDescent="0.25">
      <c r="A17" s="2" t="s">
        <v>129</v>
      </c>
      <c r="B17" t="s">
        <v>12</v>
      </c>
      <c r="C17" s="155">
        <f t="shared" si="3"/>
        <v>103613</v>
      </c>
      <c r="D17" s="155">
        <f t="shared" ref="D17:F17" si="8">D8+C17</f>
        <v>138520</v>
      </c>
      <c r="E17" s="155">
        <f t="shared" si="8"/>
        <v>192463</v>
      </c>
      <c r="F17" s="155">
        <f t="shared" si="8"/>
        <v>255640</v>
      </c>
      <c r="G17" s="155">
        <f t="shared" ref="G17:V17" si="9">G8+F17</f>
        <v>330549</v>
      </c>
      <c r="H17" s="155">
        <f t="shared" si="9"/>
        <v>408104</v>
      </c>
      <c r="I17" s="155">
        <f t="shared" si="9"/>
        <v>475879</v>
      </c>
      <c r="J17" s="155">
        <f t="shared" si="9"/>
        <v>537248</v>
      </c>
      <c r="K17" s="155">
        <f t="shared" si="9"/>
        <v>598106</v>
      </c>
      <c r="L17" s="155">
        <f t="shared" si="9"/>
        <v>657930</v>
      </c>
      <c r="M17" s="155">
        <f t="shared" si="9"/>
        <v>726373</v>
      </c>
      <c r="N17" s="155">
        <f t="shared" si="9"/>
        <v>769359</v>
      </c>
      <c r="O17" s="155">
        <f t="shared" si="9"/>
        <v>790153</v>
      </c>
      <c r="P17" s="155">
        <f t="shared" si="9"/>
        <v>798176</v>
      </c>
      <c r="Q17" s="155">
        <f t="shared" si="9"/>
        <v>803325</v>
      </c>
      <c r="R17" s="155">
        <f t="shared" si="9"/>
        <v>807667</v>
      </c>
      <c r="S17" s="155">
        <f t="shared" si="9"/>
        <v>811399</v>
      </c>
      <c r="T17" s="155">
        <f t="shared" si="9"/>
        <v>814524</v>
      </c>
      <c r="U17" s="155">
        <f t="shared" si="9"/>
        <v>817203</v>
      </c>
      <c r="V17" s="155">
        <f t="shared" si="9"/>
        <v>819987</v>
      </c>
    </row>
    <row r="18" spans="1:22" x14ac:dyDescent="0.25">
      <c r="A18" s="2" t="s">
        <v>129</v>
      </c>
      <c r="B18" t="s">
        <v>8</v>
      </c>
      <c r="C18" s="155">
        <f t="shared" si="3"/>
        <v>38704</v>
      </c>
      <c r="D18" s="155">
        <f t="shared" ref="D18:F18" si="10">D9+C18</f>
        <v>66644</v>
      </c>
      <c r="E18" s="155">
        <f t="shared" si="10"/>
        <v>104599</v>
      </c>
      <c r="F18" s="155">
        <f t="shared" si="10"/>
        <v>143577</v>
      </c>
      <c r="G18" s="155">
        <f t="shared" ref="G18:V18" si="11">G9+F18</f>
        <v>184017</v>
      </c>
      <c r="H18" s="155">
        <f t="shared" si="11"/>
        <v>225555</v>
      </c>
      <c r="I18" s="155">
        <f t="shared" si="11"/>
        <v>258646</v>
      </c>
      <c r="J18" s="155">
        <f t="shared" si="11"/>
        <v>293745</v>
      </c>
      <c r="K18" s="155">
        <f t="shared" si="11"/>
        <v>333404</v>
      </c>
      <c r="L18" s="155">
        <f t="shared" si="11"/>
        <v>373089</v>
      </c>
      <c r="M18" s="155">
        <f t="shared" si="11"/>
        <v>405229</v>
      </c>
      <c r="N18" s="155">
        <f t="shared" si="11"/>
        <v>426335</v>
      </c>
      <c r="O18" s="155">
        <f t="shared" si="11"/>
        <v>436551</v>
      </c>
      <c r="P18" s="155">
        <f t="shared" si="11"/>
        <v>441153</v>
      </c>
      <c r="Q18" s="155">
        <f t="shared" si="11"/>
        <v>444260</v>
      </c>
      <c r="R18" s="155">
        <f t="shared" si="11"/>
        <v>446222</v>
      </c>
      <c r="S18" s="155">
        <f t="shared" si="11"/>
        <v>448043</v>
      </c>
      <c r="T18" s="155">
        <f t="shared" si="11"/>
        <v>449508</v>
      </c>
      <c r="U18" s="155">
        <f t="shared" si="11"/>
        <v>450848</v>
      </c>
      <c r="V18" s="155">
        <f t="shared" si="11"/>
        <v>452277</v>
      </c>
    </row>
    <row r="19" spans="1:22" x14ac:dyDescent="0.25">
      <c r="A19" s="2" t="s">
        <v>129</v>
      </c>
      <c r="B19" t="s">
        <v>4</v>
      </c>
      <c r="C19" s="155">
        <f t="shared" si="3"/>
        <v>87943</v>
      </c>
      <c r="D19" s="155">
        <f t="shared" ref="D19:F19" si="12">D10+C19</f>
        <v>139741</v>
      </c>
      <c r="E19" s="155">
        <f t="shared" si="12"/>
        <v>205961</v>
      </c>
      <c r="F19" s="155">
        <f t="shared" si="12"/>
        <v>274767</v>
      </c>
      <c r="G19" s="155">
        <f t="shared" ref="G19:V19" si="13">G10+F19</f>
        <v>354762</v>
      </c>
      <c r="H19" s="155">
        <f t="shared" si="13"/>
        <v>427307</v>
      </c>
      <c r="I19" s="155">
        <f t="shared" si="13"/>
        <v>496188</v>
      </c>
      <c r="J19" s="155">
        <f t="shared" si="13"/>
        <v>561476</v>
      </c>
      <c r="K19" s="155">
        <f t="shared" si="13"/>
        <v>628997</v>
      </c>
      <c r="L19" s="155">
        <f t="shared" si="13"/>
        <v>683228</v>
      </c>
      <c r="M19" s="155">
        <f t="shared" si="13"/>
        <v>725586</v>
      </c>
      <c r="N19" s="155">
        <f t="shared" si="13"/>
        <v>766095</v>
      </c>
      <c r="O19" s="155">
        <f t="shared" si="13"/>
        <v>786328</v>
      </c>
      <c r="P19" s="155">
        <f t="shared" si="13"/>
        <v>792233</v>
      </c>
      <c r="Q19" s="155">
        <f t="shared" si="13"/>
        <v>797048</v>
      </c>
      <c r="R19" s="155">
        <f t="shared" si="13"/>
        <v>800518</v>
      </c>
      <c r="S19" s="155">
        <f t="shared" si="13"/>
        <v>804053</v>
      </c>
      <c r="T19" s="155">
        <f t="shared" si="13"/>
        <v>806641</v>
      </c>
      <c r="U19" s="155">
        <f t="shared" si="13"/>
        <v>808776</v>
      </c>
      <c r="V19" s="155">
        <f t="shared" si="13"/>
        <v>810559</v>
      </c>
    </row>
    <row r="20" spans="1:22" x14ac:dyDescent="0.25">
      <c r="A20" s="2" t="s">
        <v>129</v>
      </c>
      <c r="B20" t="s">
        <v>17</v>
      </c>
      <c r="C20" s="155">
        <f t="shared" si="3"/>
        <v>449967</v>
      </c>
      <c r="D20" s="155">
        <f t="shared" ref="D20:F20" si="14">D11+C20</f>
        <v>663984</v>
      </c>
      <c r="E20" s="155">
        <f t="shared" si="14"/>
        <v>948017</v>
      </c>
      <c r="F20" s="155">
        <f t="shared" si="14"/>
        <v>1253338</v>
      </c>
      <c r="G20" s="155">
        <f t="shared" ref="G20:V20" si="15">G11+F20</f>
        <v>1603076</v>
      </c>
      <c r="H20" s="155">
        <f t="shared" si="15"/>
        <v>1956240</v>
      </c>
      <c r="I20" s="155">
        <f t="shared" si="15"/>
        <v>2268145</v>
      </c>
      <c r="J20" s="155">
        <f t="shared" si="15"/>
        <v>2584683</v>
      </c>
      <c r="K20" s="155">
        <f t="shared" si="15"/>
        <v>2922089</v>
      </c>
      <c r="L20" s="155">
        <f t="shared" si="15"/>
        <v>3258737</v>
      </c>
      <c r="M20" s="155">
        <f t="shared" si="15"/>
        <v>3542085</v>
      </c>
      <c r="N20" s="155">
        <f t="shared" si="15"/>
        <v>3744971</v>
      </c>
      <c r="O20" s="155">
        <f t="shared" si="15"/>
        <v>3844388</v>
      </c>
      <c r="P20" s="155">
        <f t="shared" si="15"/>
        <v>3880316</v>
      </c>
      <c r="Q20" s="155">
        <f t="shared" si="15"/>
        <v>3902871</v>
      </c>
      <c r="R20" s="155">
        <f t="shared" si="15"/>
        <v>3920780</v>
      </c>
      <c r="S20" s="155">
        <f t="shared" si="15"/>
        <v>3938382</v>
      </c>
      <c r="T20" s="155">
        <f t="shared" si="15"/>
        <v>3952128</v>
      </c>
      <c r="U20" s="155">
        <f t="shared" si="15"/>
        <v>3964049</v>
      </c>
      <c r="V20" s="155">
        <f t="shared" si="15"/>
        <v>3975478</v>
      </c>
    </row>
    <row r="21" spans="1:22" x14ac:dyDescent="0.25">
      <c r="A21" s="2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</row>
    <row r="22" spans="1:22" x14ac:dyDescent="0.25">
      <c r="A22" s="2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</row>
    <row r="23" spans="1:22" x14ac:dyDescent="0.25">
      <c r="A23" s="2" t="s">
        <v>127</v>
      </c>
      <c r="B23" t="s">
        <v>10</v>
      </c>
      <c r="C23" s="155">
        <f>INDEX(PM_Pop_Data!$C$3:$AN$9,MATCH('Phase 3 demand profiles'!$B23,PM_Pop_Data!$B$3:$B$9,0),MATCH('Phase 3 demand profiles'!C$4,PM_Pop_Data!$C$1:$AN$1,0))</f>
        <v>77201</v>
      </c>
      <c r="D23" s="155">
        <f>INDEX(PM_Pop_Data!$C$3:$AN$9,MATCH('Phase 3 demand profiles'!$B23,PM_Pop_Data!$B$3:$B$9,0),MATCH('Phase 3 demand profiles'!D$4,PM_Pop_Data!$C$1:$AN$1,0))</f>
        <v>117848</v>
      </c>
      <c r="E23" s="155">
        <f>INDEX(PM_Pop_Data!$C$3:$AN$9,MATCH('Phase 3 demand profiles'!$B23,PM_Pop_Data!$B$3:$B$9,0),MATCH('Phase 3 demand profiles'!E$4,PM_Pop_Data!$C$1:$AN$1,0))</f>
        <v>174152</v>
      </c>
      <c r="F23" s="155">
        <f>INDEX(PM_Pop_Data!$C$3:$AN$9,MATCH('Phase 3 demand profiles'!$B23,PM_Pop_Data!$B$3:$B$9,0),MATCH('Phase 3 demand profiles'!F$4,PM_Pop_Data!$C$1:$AN$1,0))</f>
        <v>225489</v>
      </c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</row>
    <row r="24" spans="1:22" x14ac:dyDescent="0.25">
      <c r="A24" s="2" t="s">
        <v>127</v>
      </c>
      <c r="B24" t="s">
        <v>2</v>
      </c>
      <c r="C24" s="155">
        <f>INDEX(PM_Pop_Data!$C$3:$AN$9,MATCH('Phase 3 demand profiles'!$B24,PM_Pop_Data!$B$3:$B$9,0),MATCH('Phase 3 demand profiles'!C$4,PM_Pop_Data!$C$1:$AN$1,0))</f>
        <v>33552</v>
      </c>
      <c r="D24" s="155">
        <f>INDEX(PM_Pop_Data!$C$3:$AN$9,MATCH('Phase 3 demand profiles'!$B24,PM_Pop_Data!$B$3:$B$9,0),MATCH('Phase 3 demand profiles'!D$4,PM_Pop_Data!$C$1:$AN$1,0))</f>
        <v>49564</v>
      </c>
      <c r="E24" s="155">
        <f>INDEX(PM_Pop_Data!$C$3:$AN$9,MATCH('Phase 3 demand profiles'!$B24,PM_Pop_Data!$B$3:$B$9,0),MATCH('Phase 3 demand profiles'!E$4,PM_Pop_Data!$C$1:$AN$1,0))</f>
        <v>71461</v>
      </c>
      <c r="F24" s="155">
        <f>INDEX(PM_Pop_Data!$C$3:$AN$9,MATCH('Phase 3 demand profiles'!$B24,PM_Pop_Data!$B$3:$B$9,0),MATCH('Phase 3 demand profiles'!F$4,PM_Pop_Data!$C$1:$AN$1,0))</f>
        <v>93186</v>
      </c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</row>
    <row r="25" spans="1:22" x14ac:dyDescent="0.25">
      <c r="A25" s="2" t="s">
        <v>127</v>
      </c>
      <c r="B25" t="s">
        <v>6</v>
      </c>
      <c r="C25" s="155">
        <f>INDEX(PM_Pop_Data!$C$3:$AN$9,MATCH('Phase 3 demand profiles'!$B25,PM_Pop_Data!$B$3:$B$9,0),MATCH('Phase 3 demand profiles'!C$4,PM_Pop_Data!$C$1:$AN$1,0))</f>
        <v>107841</v>
      </c>
      <c r="D25" s="155">
        <f>INDEX(PM_Pop_Data!$C$3:$AN$9,MATCH('Phase 3 demand profiles'!$B25,PM_Pop_Data!$B$3:$B$9,0),MATCH('Phase 3 demand profiles'!D$4,PM_Pop_Data!$C$1:$AN$1,0))</f>
        <v>150889</v>
      </c>
      <c r="E25" s="155">
        <f>INDEX(PM_Pop_Data!$C$3:$AN$9,MATCH('Phase 3 demand profiles'!$B25,PM_Pop_Data!$B$3:$B$9,0),MATCH('Phase 3 demand profiles'!E$4,PM_Pop_Data!$C$1:$AN$1,0))</f>
        <v>198933</v>
      </c>
      <c r="F25" s="155">
        <f>INDEX(PM_Pop_Data!$C$3:$AN$9,MATCH('Phase 3 demand profiles'!$B25,PM_Pop_Data!$B$3:$B$9,0),MATCH('Phase 3 demand profiles'!F$4,PM_Pop_Data!$C$1:$AN$1,0))</f>
        <v>260678</v>
      </c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</row>
    <row r="26" spans="1:22" x14ac:dyDescent="0.25">
      <c r="A26" s="2" t="s">
        <v>127</v>
      </c>
      <c r="B26" t="s">
        <v>12</v>
      </c>
      <c r="C26" s="155">
        <f>INDEX(PM_Pop_Data!$C$3:$AN$9,MATCH('Phase 3 demand profiles'!$B26,PM_Pop_Data!$B$3:$B$9,0),MATCH('Phase 3 demand profiles'!C$4,PM_Pop_Data!$C$1:$AN$1,0))</f>
        <v>103007</v>
      </c>
      <c r="D26" s="155">
        <f>INDEX(PM_Pop_Data!$C$3:$AN$9,MATCH('Phase 3 demand profiles'!$B26,PM_Pop_Data!$B$3:$B$9,0),MATCH('Phase 3 demand profiles'!D$4,PM_Pop_Data!$C$1:$AN$1,0))</f>
        <v>138140</v>
      </c>
      <c r="E26" s="155">
        <f>INDEX(PM_Pop_Data!$C$3:$AN$9,MATCH('Phase 3 demand profiles'!$B26,PM_Pop_Data!$B$3:$B$9,0),MATCH('Phase 3 demand profiles'!E$4,PM_Pop_Data!$C$1:$AN$1,0))</f>
        <v>192349</v>
      </c>
      <c r="F26" s="155">
        <f>INDEX(PM_Pop_Data!$C$3:$AN$9,MATCH('Phase 3 demand profiles'!$B26,PM_Pop_Data!$B$3:$B$9,0),MATCH('Phase 3 demand profiles'!F$4,PM_Pop_Data!$C$1:$AN$1,0))</f>
        <v>255638</v>
      </c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</row>
    <row r="27" spans="1:22" x14ac:dyDescent="0.25">
      <c r="A27" s="2" t="s">
        <v>127</v>
      </c>
      <c r="B27" t="s">
        <v>8</v>
      </c>
      <c r="C27" s="155">
        <f>INDEX(PM_Pop_Data!$C$3:$AN$9,MATCH('Phase 3 demand profiles'!$B27,PM_Pop_Data!$B$3:$B$9,0),MATCH('Phase 3 demand profiles'!C$4,PM_Pop_Data!$C$1:$AN$1,0))</f>
        <v>38490</v>
      </c>
      <c r="D27" s="155">
        <f>INDEX(PM_Pop_Data!$C$3:$AN$9,MATCH('Phase 3 demand profiles'!$B27,PM_Pop_Data!$B$3:$B$9,0),MATCH('Phase 3 demand profiles'!D$4,PM_Pop_Data!$C$1:$AN$1,0))</f>
        <v>66490</v>
      </c>
      <c r="E27" s="155">
        <f>INDEX(PM_Pop_Data!$C$3:$AN$9,MATCH('Phase 3 demand profiles'!$B27,PM_Pop_Data!$B$3:$B$9,0),MATCH('Phase 3 demand profiles'!E$4,PM_Pop_Data!$C$1:$AN$1,0))</f>
        <v>104536</v>
      </c>
      <c r="F27" s="155">
        <f>INDEX(PM_Pop_Data!$C$3:$AN$9,MATCH('Phase 3 demand profiles'!$B27,PM_Pop_Data!$B$3:$B$9,0),MATCH('Phase 3 demand profiles'!F$4,PM_Pop_Data!$C$1:$AN$1,0))</f>
        <v>143577</v>
      </c>
      <c r="G27" s="155"/>
      <c r="H27" s="155"/>
      <c r="I27" s="155"/>
      <c r="J27" s="155"/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</row>
    <row r="28" spans="1:22" x14ac:dyDescent="0.25">
      <c r="A28" s="2" t="s">
        <v>127</v>
      </c>
      <c r="B28" t="s">
        <v>4</v>
      </c>
      <c r="C28" s="155">
        <f>INDEX(PM_Pop_Data!$C$3:$AN$9,MATCH('Phase 3 demand profiles'!$B28,PM_Pop_Data!$B$3:$B$9,0),MATCH('Phase 3 demand profiles'!C$4,PM_Pop_Data!$C$1:$AN$1,0))</f>
        <v>87461</v>
      </c>
      <c r="D28" s="155">
        <f>INDEX(PM_Pop_Data!$C$3:$AN$9,MATCH('Phase 3 demand profiles'!$B28,PM_Pop_Data!$B$3:$B$9,0),MATCH('Phase 3 demand profiles'!D$4,PM_Pop_Data!$C$1:$AN$1,0))</f>
        <v>139464</v>
      </c>
      <c r="E28" s="155">
        <f>INDEX(PM_Pop_Data!$C$3:$AN$9,MATCH('Phase 3 demand profiles'!$B28,PM_Pop_Data!$B$3:$B$9,0),MATCH('Phase 3 demand profiles'!E$4,PM_Pop_Data!$C$1:$AN$1,0))</f>
        <v>205851</v>
      </c>
      <c r="F28" s="155">
        <f>INDEX(PM_Pop_Data!$C$3:$AN$9,MATCH('Phase 3 demand profiles'!$B28,PM_Pop_Data!$B$3:$B$9,0),MATCH('Phase 3 demand profiles'!F$4,PM_Pop_Data!$C$1:$AN$1,0))</f>
        <v>274763</v>
      </c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</row>
    <row r="29" spans="1:22" x14ac:dyDescent="0.25">
      <c r="A29" s="2" t="s">
        <v>127</v>
      </c>
      <c r="B29" t="s">
        <v>17</v>
      </c>
      <c r="C29" s="155">
        <f>INDEX(PM_Pop_Data!$C$3:$AN$9,MATCH('Phase 3 demand profiles'!$B29,PM_Pop_Data!$B$3:$B$9,0),MATCH('Phase 3 demand profiles'!C$4,PM_Pop_Data!$C$1:$AN$1,0))</f>
        <v>447552</v>
      </c>
      <c r="D29" s="155">
        <f>INDEX(PM_Pop_Data!$C$3:$AN$9,MATCH('Phase 3 demand profiles'!$B29,PM_Pop_Data!$B$3:$B$9,0),MATCH('Phase 3 demand profiles'!D$4,PM_Pop_Data!$C$1:$AN$1,0))</f>
        <v>662395</v>
      </c>
      <c r="E29" s="155">
        <f>INDEX(PM_Pop_Data!$C$3:$AN$9,MATCH('Phase 3 demand profiles'!$B29,PM_Pop_Data!$B$3:$B$9,0),MATCH('Phase 3 demand profiles'!E$4,PM_Pop_Data!$C$1:$AN$1,0))</f>
        <v>947282</v>
      </c>
      <c r="F29" s="155">
        <f>INDEX(PM_Pop_Data!$C$3:$AN$9,MATCH('Phase 3 demand profiles'!$B29,PM_Pop_Data!$B$3:$B$9,0),MATCH('Phase 3 demand profiles'!F$4,PM_Pop_Data!$C$1:$AN$1,0))</f>
        <v>1253331</v>
      </c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</row>
    <row r="30" spans="1:22" x14ac:dyDescent="0.25">
      <c r="A30" s="2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</row>
    <row r="31" spans="1:22" x14ac:dyDescent="0.25">
      <c r="A31" s="2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</row>
    <row r="32" spans="1:22" x14ac:dyDescent="0.25">
      <c r="A32" s="2" t="s">
        <v>128</v>
      </c>
      <c r="B32" t="s">
        <v>10</v>
      </c>
      <c r="C32" s="156">
        <f>C23-C14</f>
        <v>-462</v>
      </c>
      <c r="D32" s="156">
        <f t="shared" ref="D32:F32" si="16">D23-D14</f>
        <v>-305</v>
      </c>
      <c r="E32" s="156">
        <f t="shared" si="16"/>
        <v>-178</v>
      </c>
      <c r="F32" s="156">
        <f t="shared" si="16"/>
        <v>-1</v>
      </c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</row>
    <row r="33" spans="1:22" x14ac:dyDescent="0.25">
      <c r="A33" s="2" t="s">
        <v>128</v>
      </c>
      <c r="B33" t="s">
        <v>2</v>
      </c>
      <c r="C33" s="156">
        <f t="shared" ref="C33:F33" si="17">C24-C15</f>
        <v>-253</v>
      </c>
      <c r="D33" s="156">
        <f t="shared" si="17"/>
        <v>-211</v>
      </c>
      <c r="E33" s="156">
        <f t="shared" si="17"/>
        <v>-149</v>
      </c>
      <c r="F33" s="156">
        <f t="shared" si="17"/>
        <v>0</v>
      </c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</row>
    <row r="34" spans="1:22" x14ac:dyDescent="0.25">
      <c r="A34" s="2" t="s">
        <v>128</v>
      </c>
      <c r="B34" t="s">
        <v>6</v>
      </c>
      <c r="C34" s="156">
        <f t="shared" ref="C34:F34" si="18">C25-C16</f>
        <v>-398</v>
      </c>
      <c r="D34" s="156">
        <f t="shared" si="18"/>
        <v>-262</v>
      </c>
      <c r="E34" s="156">
        <f t="shared" si="18"/>
        <v>-121</v>
      </c>
      <c r="F34" s="156">
        <f t="shared" si="18"/>
        <v>0</v>
      </c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</row>
    <row r="35" spans="1:22" x14ac:dyDescent="0.25">
      <c r="A35" s="2" t="s">
        <v>128</v>
      </c>
      <c r="B35" t="s">
        <v>12</v>
      </c>
      <c r="C35" s="156">
        <f t="shared" ref="C35:F35" si="19">C26-C17</f>
        <v>-606</v>
      </c>
      <c r="D35" s="156">
        <f t="shared" si="19"/>
        <v>-380</v>
      </c>
      <c r="E35" s="156">
        <f t="shared" si="19"/>
        <v>-114</v>
      </c>
      <c r="F35" s="156">
        <f t="shared" si="19"/>
        <v>-2</v>
      </c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</row>
    <row r="36" spans="1:22" x14ac:dyDescent="0.25">
      <c r="A36" s="2" t="s">
        <v>128</v>
      </c>
      <c r="B36" t="s">
        <v>8</v>
      </c>
      <c r="C36" s="156">
        <f t="shared" ref="C36:F36" si="20">C27-C18</f>
        <v>-214</v>
      </c>
      <c r="D36" s="156">
        <f t="shared" si="20"/>
        <v>-154</v>
      </c>
      <c r="E36" s="156">
        <f t="shared" si="20"/>
        <v>-63</v>
      </c>
      <c r="F36" s="156">
        <f t="shared" si="20"/>
        <v>0</v>
      </c>
    </row>
    <row r="37" spans="1:22" x14ac:dyDescent="0.25">
      <c r="A37" s="2" t="s">
        <v>128</v>
      </c>
      <c r="B37" t="s">
        <v>4</v>
      </c>
      <c r="C37" s="156">
        <f t="shared" ref="C37:F37" si="21">C28-C19</f>
        <v>-482</v>
      </c>
      <c r="D37" s="156">
        <f t="shared" si="21"/>
        <v>-277</v>
      </c>
      <c r="E37" s="156">
        <f t="shared" si="21"/>
        <v>-110</v>
      </c>
      <c r="F37" s="156">
        <f t="shared" si="21"/>
        <v>-4</v>
      </c>
    </row>
    <row r="38" spans="1:22" x14ac:dyDescent="0.25">
      <c r="A38" s="2" t="s">
        <v>128</v>
      </c>
      <c r="B38" t="s">
        <v>17</v>
      </c>
      <c r="C38" s="156">
        <f t="shared" ref="C38:F38" si="22">C29-C20</f>
        <v>-2415</v>
      </c>
      <c r="D38" s="156">
        <f t="shared" si="22"/>
        <v>-1589</v>
      </c>
      <c r="E38" s="156">
        <f t="shared" si="22"/>
        <v>-735</v>
      </c>
      <c r="F38" s="156">
        <f t="shared" si="22"/>
        <v>-7</v>
      </c>
    </row>
    <row r="40" spans="1:22" x14ac:dyDescent="0.25">
      <c r="C40" s="159">
        <f>C32/C14</f>
        <v>-5.9487786977067587E-3</v>
      </c>
      <c r="D40" s="159">
        <f t="shared" ref="D40:F40" si="23">D32/D14</f>
        <v>-2.5813986949125285E-3</v>
      </c>
      <c r="E40" s="159">
        <f t="shared" si="23"/>
        <v>-1.0210520277634371E-3</v>
      </c>
      <c r="F40" s="159">
        <f t="shared" si="23"/>
        <v>-4.4347864650317085E-6</v>
      </c>
    </row>
    <row r="41" spans="1:22" x14ac:dyDescent="0.25">
      <c r="C41" s="159">
        <f t="shared" ref="C41:F46" si="24">C33/C15</f>
        <v>-7.4840999852092884E-3</v>
      </c>
      <c r="D41" s="159">
        <f t="shared" si="24"/>
        <v>-4.239075841285786E-3</v>
      </c>
      <c r="E41" s="159">
        <f t="shared" si="24"/>
        <v>-2.0807149839407904E-3</v>
      </c>
      <c r="F41" s="159">
        <f t="shared" si="24"/>
        <v>0</v>
      </c>
    </row>
    <row r="42" spans="1:22" x14ac:dyDescent="0.25">
      <c r="C42" s="159">
        <f t="shared" si="24"/>
        <v>-3.6770480141169078E-3</v>
      </c>
      <c r="D42" s="159">
        <f t="shared" si="24"/>
        <v>-1.7333659717765678E-3</v>
      </c>
      <c r="E42" s="159">
        <f t="shared" si="24"/>
        <v>-6.0787524993217924E-4</v>
      </c>
      <c r="F42" s="159">
        <f t="shared" si="24"/>
        <v>0</v>
      </c>
    </row>
    <row r="43" spans="1:22" x14ac:dyDescent="0.25">
      <c r="C43" s="159">
        <f t="shared" si="24"/>
        <v>-5.8486869408278883E-3</v>
      </c>
      <c r="D43" s="159">
        <f t="shared" si="24"/>
        <v>-2.7432861680623736E-3</v>
      </c>
      <c r="E43" s="159">
        <f t="shared" si="24"/>
        <v>-5.923216410426939E-4</v>
      </c>
      <c r="F43" s="159">
        <f t="shared" si="24"/>
        <v>-7.8235017994054145E-6</v>
      </c>
    </row>
    <row r="44" spans="1:22" x14ac:dyDescent="0.25">
      <c r="C44" s="159">
        <f t="shared" si="24"/>
        <v>-5.5291442744935925E-3</v>
      </c>
      <c r="D44" s="159">
        <f t="shared" si="24"/>
        <v>-2.3107856671268231E-3</v>
      </c>
      <c r="E44" s="159">
        <f t="shared" si="24"/>
        <v>-6.0230021319515484E-4</v>
      </c>
      <c r="F44" s="159">
        <f t="shared" si="24"/>
        <v>0</v>
      </c>
    </row>
    <row r="45" spans="1:22" x14ac:dyDescent="0.25">
      <c r="C45" s="159">
        <f t="shared" si="24"/>
        <v>-5.4808228056809523E-3</v>
      </c>
      <c r="D45" s="159">
        <f t="shared" si="24"/>
        <v>-1.9822385699257913E-3</v>
      </c>
      <c r="E45" s="159">
        <f t="shared" si="24"/>
        <v>-5.3408169507819438E-4</v>
      </c>
      <c r="F45" s="159">
        <f t="shared" si="24"/>
        <v>-1.4557788963012297E-5</v>
      </c>
    </row>
    <row r="46" spans="1:22" x14ac:dyDescent="0.25">
      <c r="C46" s="159">
        <f t="shared" si="24"/>
        <v>-5.3670602510850797E-3</v>
      </c>
      <c r="D46" s="159">
        <f t="shared" si="24"/>
        <v>-2.3931299549386732E-3</v>
      </c>
      <c r="E46" s="159">
        <f t="shared" si="24"/>
        <v>-7.7530255259135653E-4</v>
      </c>
      <c r="F46" s="159">
        <f t="shared" si="24"/>
        <v>-5.5850855874472804E-6</v>
      </c>
    </row>
  </sheetData>
  <conditionalFormatting sqref="C32:F3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3BFA426A784B42A00AFBBB46EF4A46" ma:contentTypeVersion="14" ma:contentTypeDescription="Create a new document." ma:contentTypeScope="" ma:versionID="6888416bf16f09cef1859bb6f1382e4d">
  <xsd:schema xmlns:xsd="http://www.w3.org/2001/XMLSchema" xmlns:xs="http://www.w3.org/2001/XMLSchema" xmlns:p="http://schemas.microsoft.com/office/2006/metadata/properties" xmlns:ns1="http://schemas.microsoft.com/sharepoint/v3" xmlns:ns2="5f1182c7-a901-4567-a754-049cb4922b82" xmlns:ns3="85d39f1d-6e86-4940-8cbe-62a4f931dfd5" targetNamespace="http://schemas.microsoft.com/office/2006/metadata/properties" ma:root="true" ma:fieldsID="82868a88ce4ed2732e49de12fc9ba0ae" ns1:_="" ns2:_="" ns3:_="">
    <xsd:import namespace="http://schemas.microsoft.com/sharepoint/v3"/>
    <xsd:import namespace="5f1182c7-a901-4567-a754-049cb4922b82"/>
    <xsd:import namespace="85d39f1d-6e86-4940-8cbe-62a4f931df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1182c7-a901-4567-a754-049cb4922b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d39f1d-6e86-4940-8cbe-62a4f931dfd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64FF642-8685-4B9D-A1A0-0467AF7879F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154A74-71B1-4857-8B7E-D329A97144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f1182c7-a901-4567-a754-049cb4922b82"/>
    <ds:schemaRef ds:uri="85d39f1d-6e86-4940-8cbe-62a4f931df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ABB2AC2-3526-4CDB-A570-8CF5FD635FF2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85d39f1d-6e86-4940-8cbe-62a4f931dfd5"/>
    <ds:schemaRef ds:uri="5f1182c7-a901-4567-a754-049cb4922b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Charts</vt:lpstr>
      </vt:variant>
      <vt:variant>
        <vt:i4>1</vt:i4>
      </vt:variant>
    </vt:vector>
  </HeadingPairs>
  <TitlesOfParts>
    <vt:vector size="9" baseType="lpstr">
      <vt:lpstr>Current Position Table</vt:lpstr>
      <vt:lpstr>Trend Chart</vt:lpstr>
      <vt:lpstr>pm_chrt_data</vt:lpstr>
      <vt:lpstr>Lookup</vt:lpstr>
      <vt:lpstr>PM_Daily_Data</vt:lpstr>
      <vt:lpstr>PM_C_Data</vt:lpstr>
      <vt:lpstr>PM_Pop_Data</vt:lpstr>
      <vt:lpstr>Phase 3 demand profiles</vt:lpstr>
      <vt:lpstr>Eligible Population 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Roxburgh, Alice</dc:creator>
  <cp:keywords/>
  <dc:description/>
  <cp:lastModifiedBy>ROXBURGH, Alice (NHS ENGLAND &amp; NHS IMPROVEMENT - X24)</cp:lastModifiedBy>
  <cp:revision/>
  <dcterms:created xsi:type="dcterms:W3CDTF">2021-08-13T12:06:08Z</dcterms:created>
  <dcterms:modified xsi:type="dcterms:W3CDTF">2021-10-25T08:52:39Z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0x0101006D3BFA426A784B42A00AFBBB46EF4A46</vt:lpwstr>
  </property>
</Properties>
</file>